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date1904="1"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tguinard/Downloads/"/>
    </mc:Choice>
  </mc:AlternateContent>
  <xr:revisionPtr revIDLastSave="0" documentId="8_{E9E390BE-B14C-0B43-824C-9E3474C0D74B}" xr6:coauthVersionLast="47" xr6:coauthVersionMax="47" xr10:uidLastSave="{00000000-0000-0000-0000-000000000000}"/>
  <bookViews>
    <workbookView xWindow="28800" yWindow="600" windowWidth="33600" windowHeight="19120" tabRatio="960" activeTab="6" xr2:uid="{00000000-000D-0000-FFFF-FFFF00000000}"/>
  </bookViews>
  <sheets>
    <sheet name="INFO" sheetId="33" r:id="rId1"/>
    <sheet name="saisie" sheetId="37" r:id="rId2"/>
    <sheet name="M Q" sheetId="21" r:id="rId3"/>
    <sheet name="Clb Q (2)" sheetId="38" state="hidden" r:id="rId4"/>
    <sheet name="Clb Q" sheetId="22" r:id="rId5"/>
    <sheet name="P.F." sheetId="36" r:id="rId6"/>
    <sheet name="PALMARES" sheetId="32" r:id="rId7"/>
  </sheets>
  <definedNames>
    <definedName name="_xlnm.Print_Area" localSheetId="4">'Clb Q'!$B$1:$L$32</definedName>
    <definedName name="_xlnm.Print_Area" localSheetId="3">'Clb Q (2)'!$B$1:$N$31</definedName>
    <definedName name="_xlnm.Print_Area" localSheetId="0">INFO!$A$1:$C$19</definedName>
    <definedName name="_xlnm.Print_Area" localSheetId="2">'M Q'!$A$1:$AI$26</definedName>
    <definedName name="_xlnm.Print_Area" localSheetId="5">'P.F.'!$B$1:$U$78</definedName>
    <definedName name="_xlnm.Print_Area" localSheetId="6">PALMARES!$A$1:$H$27</definedName>
    <definedName name="_xlnm.Print_Area" localSheetId="1">saisie!$A$3:$AJ$27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37" l="1"/>
  <c r="O8" i="37"/>
  <c r="U8" i="37"/>
  <c r="AA8" i="37"/>
  <c r="AG8" i="37"/>
  <c r="I9" i="37"/>
  <c r="O9" i="37"/>
  <c r="U9" i="37"/>
  <c r="AA9" i="37"/>
  <c r="AG9" i="37"/>
  <c r="I10" i="37"/>
  <c r="O10" i="37"/>
  <c r="U10" i="37"/>
  <c r="AA10" i="37"/>
  <c r="AG10" i="37"/>
  <c r="I11" i="37"/>
  <c r="O11" i="37"/>
  <c r="U11" i="37"/>
  <c r="AA11" i="37"/>
  <c r="AG11" i="37"/>
  <c r="I12" i="37"/>
  <c r="O12" i="37"/>
  <c r="U12" i="37"/>
  <c r="AA12" i="37"/>
  <c r="AG12" i="37"/>
  <c r="I13" i="37"/>
  <c r="O13" i="37"/>
  <c r="U13" i="37"/>
  <c r="AA13" i="37"/>
  <c r="AG13" i="37"/>
  <c r="I14" i="37"/>
  <c r="O14" i="37"/>
  <c r="U14" i="37"/>
  <c r="AA14" i="37"/>
  <c r="AG14" i="37"/>
  <c r="I15" i="37"/>
  <c r="O15" i="37"/>
  <c r="U15" i="37"/>
  <c r="AA15" i="37"/>
  <c r="AG15" i="37"/>
  <c r="I16" i="37"/>
  <c r="O16" i="37"/>
  <c r="U16" i="37"/>
  <c r="AA16" i="37"/>
  <c r="AG16" i="37"/>
  <c r="I17" i="37"/>
  <c r="O17" i="37"/>
  <c r="U17" i="37"/>
  <c r="AA17" i="37"/>
  <c r="AG17" i="37"/>
  <c r="U18" i="37"/>
  <c r="I18" i="37"/>
  <c r="O18" i="37"/>
  <c r="AA18" i="37"/>
  <c r="AG18" i="37"/>
  <c r="I19" i="37"/>
  <c r="AI19" i="37" s="1"/>
  <c r="O19" i="37"/>
  <c r="U19" i="37"/>
  <c r="AA19" i="37"/>
  <c r="AG19" i="37"/>
  <c r="I20" i="37"/>
  <c r="O20" i="37"/>
  <c r="U20" i="37"/>
  <c r="AA20" i="37"/>
  <c r="AG20" i="37"/>
  <c r="O21" i="37"/>
  <c r="I21" i="37"/>
  <c r="U21" i="37"/>
  <c r="AA21" i="37"/>
  <c r="AG21" i="37"/>
  <c r="AL21" i="37"/>
  <c r="I22" i="37"/>
  <c r="O22" i="37"/>
  <c r="U22" i="37"/>
  <c r="AA22" i="37"/>
  <c r="AG22" i="37"/>
  <c r="I23" i="37"/>
  <c r="O23" i="37"/>
  <c r="U23" i="37"/>
  <c r="AA23" i="37"/>
  <c r="AG23" i="37"/>
  <c r="I24" i="37"/>
  <c r="O24" i="37"/>
  <c r="U24" i="37"/>
  <c r="AA24" i="37"/>
  <c r="AG24" i="37"/>
  <c r="I25" i="37"/>
  <c r="O25" i="37"/>
  <c r="U25" i="37"/>
  <c r="AA25" i="37"/>
  <c r="AG25" i="37"/>
  <c r="I26" i="37"/>
  <c r="O26" i="37"/>
  <c r="U26" i="37"/>
  <c r="AA26" i="37"/>
  <c r="AG26" i="37"/>
  <c r="I7" i="37"/>
  <c r="O7" i="37"/>
  <c r="U7" i="37"/>
  <c r="AA7" i="37"/>
  <c r="AG7" i="37"/>
  <c r="B2" i="36"/>
  <c r="A3" i="37"/>
  <c r="A3" i="21"/>
  <c r="AJ7" i="37"/>
  <c r="AJ8" i="37"/>
  <c r="AJ9" i="37"/>
  <c r="AJ10" i="37"/>
  <c r="AJ11" i="37"/>
  <c r="AJ12" i="37"/>
  <c r="AJ13" i="37"/>
  <c r="AJ14" i="37"/>
  <c r="AJ15" i="37"/>
  <c r="AJ16" i="37"/>
  <c r="AJ17" i="37"/>
  <c r="AJ18" i="37"/>
  <c r="AJ19" i="37"/>
  <c r="AJ20" i="37"/>
  <c r="AJ21" i="37"/>
  <c r="AJ22" i="37"/>
  <c r="AJ23" i="37"/>
  <c r="AJ24" i="37"/>
  <c r="AJ25" i="37"/>
  <c r="AJ26" i="37"/>
  <c r="A11" i="21"/>
  <c r="B25" i="36"/>
  <c r="B26" i="36"/>
  <c r="B27" i="36"/>
  <c r="B28" i="36"/>
  <c r="B29" i="36"/>
  <c r="B30" i="36"/>
  <c r="C25" i="36" s="1"/>
  <c r="B31" i="36"/>
  <c r="K25" i="36"/>
  <c r="K26" i="36"/>
  <c r="K27" i="36"/>
  <c r="K28" i="36"/>
  <c r="K29" i="36"/>
  <c r="K30" i="36"/>
  <c r="K31" i="36"/>
  <c r="L41" i="36"/>
  <c r="L42" i="36"/>
  <c r="L43" i="36"/>
  <c r="L44" i="36"/>
  <c r="L45" i="36"/>
  <c r="L46" i="36"/>
  <c r="L47" i="36"/>
  <c r="U41" i="36"/>
  <c r="U42" i="36"/>
  <c r="U43" i="36"/>
  <c r="U44" i="36"/>
  <c r="U45" i="36"/>
  <c r="U46" i="36"/>
  <c r="U47" i="36"/>
  <c r="A13" i="21"/>
  <c r="L25" i="36"/>
  <c r="L26" i="36"/>
  <c r="L27" i="36"/>
  <c r="L28" i="36"/>
  <c r="L29" i="36"/>
  <c r="L30" i="36"/>
  <c r="L31" i="36"/>
  <c r="U25" i="36"/>
  <c r="S25" i="36" s="1"/>
  <c r="U26" i="36"/>
  <c r="U27" i="36"/>
  <c r="U28" i="36"/>
  <c r="U29" i="36"/>
  <c r="U30" i="36"/>
  <c r="U31" i="36"/>
  <c r="P57" i="36"/>
  <c r="P58" i="36"/>
  <c r="P59" i="36"/>
  <c r="P60" i="36"/>
  <c r="P61" i="36"/>
  <c r="P62" i="36"/>
  <c r="P63" i="36"/>
  <c r="A12" i="21"/>
  <c r="L11" i="36"/>
  <c r="L12" i="36"/>
  <c r="M11" i="36" s="1"/>
  <c r="L13" i="36"/>
  <c r="L14" i="36"/>
  <c r="L15" i="36"/>
  <c r="L16" i="36"/>
  <c r="L17" i="36"/>
  <c r="A10" i="21"/>
  <c r="A8" i="21"/>
  <c r="B11" i="36"/>
  <c r="B12" i="36"/>
  <c r="B13" i="36"/>
  <c r="B14" i="36"/>
  <c r="B15" i="36"/>
  <c r="B16" i="36"/>
  <c r="B17" i="36"/>
  <c r="K11" i="36"/>
  <c r="K13" i="36"/>
  <c r="K12" i="36"/>
  <c r="K14" i="36"/>
  <c r="K15" i="36"/>
  <c r="K16" i="36"/>
  <c r="K17" i="36"/>
  <c r="A14" i="21"/>
  <c r="U11" i="36"/>
  <c r="U12" i="36"/>
  <c r="U13" i="36"/>
  <c r="U14" i="36"/>
  <c r="U15" i="36"/>
  <c r="U16" i="36"/>
  <c r="U17" i="36"/>
  <c r="B41" i="36"/>
  <c r="B42" i="36"/>
  <c r="B43" i="36"/>
  <c r="B44" i="36"/>
  <c r="B45" i="36"/>
  <c r="B46" i="36"/>
  <c r="B47" i="36"/>
  <c r="K41" i="36"/>
  <c r="K42" i="36"/>
  <c r="K43" i="36"/>
  <c r="K44" i="36"/>
  <c r="K45" i="36"/>
  <c r="K46" i="36"/>
  <c r="K47" i="36"/>
  <c r="A15" i="21"/>
  <c r="A17" i="32"/>
  <c r="A16" i="21"/>
  <c r="A18" i="32"/>
  <c r="A17" i="21"/>
  <c r="A19" i="32"/>
  <c r="A18" i="21"/>
  <c r="A20" i="32"/>
  <c r="A19" i="21"/>
  <c r="A21" i="32"/>
  <c r="A20" i="21"/>
  <c r="A22" i="32"/>
  <c r="A21" i="21"/>
  <c r="A23" i="32"/>
  <c r="A22" i="21"/>
  <c r="A24" i="32"/>
  <c r="A23" i="21"/>
  <c r="A25" i="32"/>
  <c r="A24" i="21"/>
  <c r="A26" i="32"/>
  <c r="A25" i="21"/>
  <c r="A27" i="32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16" i="32"/>
  <c r="A9" i="21"/>
  <c r="A9" i="32"/>
  <c r="P71" i="36"/>
  <c r="P72" i="36"/>
  <c r="P73" i="36"/>
  <c r="P74" i="36"/>
  <c r="P75" i="36"/>
  <c r="P76" i="36"/>
  <c r="P77" i="36"/>
  <c r="G76" i="36"/>
  <c r="G71" i="36"/>
  <c r="G72" i="36"/>
  <c r="G73" i="36"/>
  <c r="G74" i="36"/>
  <c r="G75" i="36"/>
  <c r="G77" i="36"/>
  <c r="A10" i="32"/>
  <c r="G57" i="36"/>
  <c r="G58" i="36"/>
  <c r="G59" i="36"/>
  <c r="G60" i="36"/>
  <c r="G61" i="36"/>
  <c r="G62" i="36"/>
  <c r="G63" i="36"/>
  <c r="A11" i="32"/>
  <c r="A12" i="32"/>
  <c r="A13" i="32"/>
  <c r="A14" i="32"/>
  <c r="A15" i="32"/>
  <c r="A1" i="32"/>
  <c r="A4" i="32"/>
  <c r="J25" i="38"/>
  <c r="B25" i="38"/>
  <c r="J17" i="38"/>
  <c r="B17" i="38"/>
  <c r="J9" i="38"/>
  <c r="J1" i="38"/>
  <c r="H2" i="22"/>
  <c r="H10" i="22"/>
  <c r="B18" i="22"/>
  <c r="H18" i="22"/>
  <c r="B26" i="22"/>
  <c r="H26" i="22"/>
  <c r="AL15" i="37" l="1"/>
  <c r="AL20" i="37"/>
  <c r="AI24" i="37"/>
  <c r="AL25" i="37"/>
  <c r="AL24" i="37"/>
  <c r="AI23" i="37"/>
  <c r="AL19" i="37"/>
  <c r="AI21" i="37"/>
  <c r="AL23" i="37"/>
  <c r="AI25" i="37"/>
  <c r="AL13" i="37"/>
  <c r="C11" i="36"/>
  <c r="AI20" i="37"/>
  <c r="H71" i="36"/>
  <c r="N71" i="36"/>
  <c r="H57" i="36"/>
  <c r="M41" i="36"/>
  <c r="S41" i="36"/>
  <c r="I41" i="36"/>
  <c r="C41" i="36"/>
  <c r="M25" i="36"/>
  <c r="I25" i="36"/>
  <c r="S11" i="36"/>
  <c r="I11" i="36"/>
  <c r="AI15" i="37"/>
  <c r="AL9" i="37"/>
  <c r="AL11" i="37"/>
  <c r="AI16" i="37"/>
  <c r="AI12" i="37"/>
  <c r="AI9" i="37"/>
  <c r="AL7" i="37"/>
  <c r="AL17" i="37"/>
  <c r="AI7" i="37"/>
  <c r="AL16" i="37"/>
  <c r="AI13" i="37"/>
  <c r="AI17" i="37"/>
  <c r="AL22" i="37"/>
  <c r="AL14" i="37"/>
  <c r="AL8" i="37"/>
  <c r="AL26" i="37"/>
  <c r="AL18" i="37"/>
  <c r="AL10" i="37"/>
  <c r="AL12" i="37"/>
  <c r="AI11" i="37"/>
  <c r="AI26" i="37"/>
  <c r="AI22" i="37"/>
  <c r="AI18" i="37"/>
  <c r="AI14" i="37"/>
  <c r="AI10" i="37"/>
  <c r="AI8" i="37"/>
  <c r="B10" i="37" l="1"/>
  <c r="B25" i="37"/>
  <c r="B17" i="37"/>
  <c r="B14" i="37"/>
  <c r="B12" i="37"/>
  <c r="B26" i="37"/>
  <c r="B22" i="37"/>
  <c r="B20" i="37"/>
  <c r="B9" i="37"/>
  <c r="B18" i="37"/>
  <c r="B24" i="37"/>
  <c r="B13" i="37"/>
  <c r="B8" i="37"/>
  <c r="B7" i="37"/>
  <c r="B15" i="37"/>
  <c r="B23" i="37"/>
  <c r="B19" i="37"/>
  <c r="B11" i="37"/>
  <c r="B21" i="37"/>
  <c r="B16" i="37"/>
  <c r="B7" i="21" l="1"/>
  <c r="C1" i="38" s="1"/>
  <c r="C2" i="22" s="1"/>
  <c r="C5" i="36" s="1"/>
  <c r="C17" i="21"/>
  <c r="C19" i="21"/>
  <c r="C21" i="21"/>
  <c r="C23" i="21"/>
  <c r="C25" i="21"/>
  <c r="AH15" i="21"/>
  <c r="B15" i="21"/>
  <c r="C8" i="21"/>
  <c r="G8" i="21"/>
  <c r="E11" i="38" s="1"/>
  <c r="K8" i="21"/>
  <c r="C12" i="38" s="1"/>
  <c r="O8" i="21"/>
  <c r="G12" i="38" s="1"/>
  <c r="S8" i="21"/>
  <c r="E13" i="38" s="1"/>
  <c r="W8" i="21"/>
  <c r="C14" i="38" s="1"/>
  <c r="AA8" i="21"/>
  <c r="G14" i="38" s="1"/>
  <c r="AE8" i="21"/>
  <c r="E15" i="38" s="1"/>
  <c r="C9" i="21"/>
  <c r="G9" i="21"/>
  <c r="E19" i="38" s="1"/>
  <c r="K9" i="21"/>
  <c r="C20" i="38" s="1"/>
  <c r="O9" i="21"/>
  <c r="G20" i="38" s="1"/>
  <c r="S9" i="21"/>
  <c r="E21" i="38" s="1"/>
  <c r="W9" i="21"/>
  <c r="C22" i="38" s="1"/>
  <c r="AA9" i="21"/>
  <c r="G22" i="38" s="1"/>
  <c r="AE9" i="21"/>
  <c r="E23" i="38" s="1"/>
  <c r="B16" i="21"/>
  <c r="B20" i="21"/>
  <c r="B24" i="21"/>
  <c r="AI9" i="21"/>
  <c r="D8" i="21"/>
  <c r="B11" i="38" s="1"/>
  <c r="H8" i="21"/>
  <c r="F11" i="38" s="1"/>
  <c r="L8" i="21"/>
  <c r="D12" i="38" s="1"/>
  <c r="P8" i="21"/>
  <c r="B13" i="38" s="1"/>
  <c r="T8" i="21"/>
  <c r="F13" i="38" s="1"/>
  <c r="X8" i="21"/>
  <c r="D14" i="38" s="1"/>
  <c r="AB8" i="21"/>
  <c r="B15" i="38" s="1"/>
  <c r="AF8" i="21"/>
  <c r="F15" i="38" s="1"/>
  <c r="D9" i="21"/>
  <c r="B19" i="38" s="1"/>
  <c r="H9" i="21"/>
  <c r="F19" i="38" s="1"/>
  <c r="L9" i="21"/>
  <c r="D20" i="38" s="1"/>
  <c r="B13" i="21"/>
  <c r="K9" i="38" s="1"/>
  <c r="I10" i="22" s="1"/>
  <c r="M19" i="36" s="1"/>
  <c r="B14" i="21"/>
  <c r="K1" i="38" s="1"/>
  <c r="I2" i="22" s="1"/>
  <c r="H5" i="36" s="1"/>
  <c r="AE16" i="21"/>
  <c r="AI19" i="21"/>
  <c r="AE20" i="21"/>
  <c r="AI23" i="21"/>
  <c r="AE24" i="21"/>
  <c r="C16" i="21"/>
  <c r="C20" i="21"/>
  <c r="C24" i="21"/>
  <c r="C15" i="21"/>
  <c r="AI8" i="21"/>
  <c r="AI13" i="21"/>
  <c r="E8" i="21"/>
  <c r="C11" i="38" s="1"/>
  <c r="I8" i="21"/>
  <c r="G11" i="38" s="1"/>
  <c r="M8" i="21"/>
  <c r="E12" i="38" s="1"/>
  <c r="Q8" i="21"/>
  <c r="C13" i="38" s="1"/>
  <c r="U8" i="21"/>
  <c r="G13" i="38" s="1"/>
  <c r="Y8" i="21"/>
  <c r="E14" i="38" s="1"/>
  <c r="AC8" i="21"/>
  <c r="C15" i="38" s="1"/>
  <c r="AG8" i="21"/>
  <c r="G15" i="38" s="1"/>
  <c r="E9" i="21"/>
  <c r="C19" i="38" s="1"/>
  <c r="I9" i="21"/>
  <c r="G19" i="38" s="1"/>
  <c r="M9" i="21"/>
  <c r="E20" i="38" s="1"/>
  <c r="Q9" i="21"/>
  <c r="C21" i="38" s="1"/>
  <c r="U9" i="21"/>
  <c r="G21" i="38" s="1"/>
  <c r="Y9" i="21"/>
  <c r="E22" i="38" s="1"/>
  <c r="AC9" i="21"/>
  <c r="C23" i="38" s="1"/>
  <c r="AE21" i="21"/>
  <c r="AI24" i="21"/>
  <c r="AE28" i="21"/>
  <c r="AE36" i="21"/>
  <c r="AE44" i="21"/>
  <c r="B23" i="21"/>
  <c r="R8" i="21"/>
  <c r="D13" i="38" s="1"/>
  <c r="AH8" i="21"/>
  <c r="F9" i="38" s="1"/>
  <c r="F10" i="22" s="1"/>
  <c r="P9" i="21"/>
  <c r="B21" i="38" s="1"/>
  <c r="X9" i="21"/>
  <c r="D22" i="38" s="1"/>
  <c r="AF9" i="21"/>
  <c r="F23" i="38" s="1"/>
  <c r="D12" i="21"/>
  <c r="J19" i="38" s="1"/>
  <c r="H12" i="21"/>
  <c r="N19" i="38" s="1"/>
  <c r="L12" i="21"/>
  <c r="L20" i="38" s="1"/>
  <c r="P12" i="21"/>
  <c r="J21" i="38" s="1"/>
  <c r="T12" i="21"/>
  <c r="N21" i="38" s="1"/>
  <c r="X12" i="21"/>
  <c r="L22" i="38" s="1"/>
  <c r="AB12" i="21"/>
  <c r="J23" i="38" s="1"/>
  <c r="AF12" i="21"/>
  <c r="N23" i="38" s="1"/>
  <c r="C13" i="21"/>
  <c r="G13" i="21"/>
  <c r="M11" i="38" s="1"/>
  <c r="K13" i="21"/>
  <c r="K12" i="38" s="1"/>
  <c r="O13" i="21"/>
  <c r="O12" i="38" s="1"/>
  <c r="S13" i="21"/>
  <c r="M13" i="38" s="1"/>
  <c r="W13" i="21"/>
  <c r="K14" i="38" s="1"/>
  <c r="AA13" i="21"/>
  <c r="O14" i="38" s="1"/>
  <c r="AE13" i="21"/>
  <c r="M15" i="38" s="1"/>
  <c r="C14" i="21"/>
  <c r="G14" i="21"/>
  <c r="M3" i="38" s="1"/>
  <c r="K14" i="21"/>
  <c r="K4" i="38" s="1"/>
  <c r="O14" i="21"/>
  <c r="O4" i="38" s="1"/>
  <c r="S14" i="21"/>
  <c r="M5" i="38" s="1"/>
  <c r="W14" i="21"/>
  <c r="K6" i="38" s="1"/>
  <c r="AA14" i="21"/>
  <c r="O6" i="38" s="1"/>
  <c r="AE14" i="21"/>
  <c r="M7" i="38" s="1"/>
  <c r="AI14" i="21"/>
  <c r="G15" i="21"/>
  <c r="K15" i="21"/>
  <c r="O15" i="21"/>
  <c r="S15" i="21"/>
  <c r="W15" i="21"/>
  <c r="AA15" i="21"/>
  <c r="AF15" i="21"/>
  <c r="F16" i="21"/>
  <c r="J16" i="21"/>
  <c r="N16" i="21"/>
  <c r="R16" i="21"/>
  <c r="V16" i="21"/>
  <c r="Z16" i="21"/>
  <c r="AD16" i="21"/>
  <c r="E17" i="21"/>
  <c r="I17" i="21"/>
  <c r="M17" i="21"/>
  <c r="Q17" i="21"/>
  <c r="U17" i="21"/>
  <c r="Y17" i="21"/>
  <c r="AC17" i="21"/>
  <c r="AE15" i="21"/>
  <c r="AE32" i="21"/>
  <c r="AE38" i="21"/>
  <c r="AH24" i="21"/>
  <c r="B21" i="21"/>
  <c r="V8" i="21"/>
  <c r="B14" i="38" s="1"/>
  <c r="J9" i="21"/>
  <c r="B20" i="38" s="1"/>
  <c r="V9" i="21"/>
  <c r="B22" i="38" s="1"/>
  <c r="AG9" i="21"/>
  <c r="G23" i="38" s="1"/>
  <c r="F12" i="21"/>
  <c r="L19" i="38" s="1"/>
  <c r="K12" i="21"/>
  <c r="K20" i="38" s="1"/>
  <c r="Q12" i="21"/>
  <c r="K21" i="38" s="1"/>
  <c r="V12" i="21"/>
  <c r="J22" i="38" s="1"/>
  <c r="AA12" i="21"/>
  <c r="O22" i="38" s="1"/>
  <c r="AG12" i="21"/>
  <c r="O23" i="38" s="1"/>
  <c r="E13" i="21"/>
  <c r="K11" i="38" s="1"/>
  <c r="J13" i="21"/>
  <c r="J12" i="38" s="1"/>
  <c r="P13" i="21"/>
  <c r="J13" i="38" s="1"/>
  <c r="U13" i="21"/>
  <c r="O13" i="38" s="1"/>
  <c r="Z13" i="21"/>
  <c r="N14" i="38" s="1"/>
  <c r="AF13" i="21"/>
  <c r="N15" i="38" s="1"/>
  <c r="E14" i="21"/>
  <c r="K3" i="38" s="1"/>
  <c r="J14" i="21"/>
  <c r="J4" i="38" s="1"/>
  <c r="P14" i="21"/>
  <c r="J5" i="38" s="1"/>
  <c r="U14" i="21"/>
  <c r="O5" i="38" s="1"/>
  <c r="Z14" i="21"/>
  <c r="N6" i="38" s="1"/>
  <c r="AF14" i="21"/>
  <c r="N7" i="38" s="1"/>
  <c r="E15" i="21"/>
  <c r="J15" i="21"/>
  <c r="P15" i="21"/>
  <c r="U15" i="21"/>
  <c r="Z15" i="21"/>
  <c r="AG15" i="21"/>
  <c r="H16" i="21"/>
  <c r="M16" i="21"/>
  <c r="S16" i="21"/>
  <c r="X16" i="21"/>
  <c r="AC16" i="21"/>
  <c r="F17" i="21"/>
  <c r="K17" i="21"/>
  <c r="P17" i="21"/>
  <c r="V17" i="21"/>
  <c r="AA17" i="21"/>
  <c r="AG17" i="21"/>
  <c r="I18" i="21"/>
  <c r="M18" i="21"/>
  <c r="Q18" i="21"/>
  <c r="U18" i="21"/>
  <c r="Y18" i="21"/>
  <c r="AC18" i="21"/>
  <c r="D19" i="21"/>
  <c r="H19" i="21"/>
  <c r="L19" i="21"/>
  <c r="P19" i="21"/>
  <c r="T19" i="21"/>
  <c r="X19" i="21"/>
  <c r="AB19" i="21"/>
  <c r="AG19" i="21"/>
  <c r="G20" i="21"/>
  <c r="K20" i="21"/>
  <c r="O20" i="21"/>
  <c r="S20" i="21"/>
  <c r="W20" i="21"/>
  <c r="AE30" i="21"/>
  <c r="AH16" i="21"/>
  <c r="B25" i="21"/>
  <c r="B9" i="21"/>
  <c r="C17" i="38" s="1"/>
  <c r="C18" i="22" s="1"/>
  <c r="M5" i="36" s="1"/>
  <c r="F8" i="21"/>
  <c r="D11" i="38" s="1"/>
  <c r="Z8" i="21"/>
  <c r="F14" i="38" s="1"/>
  <c r="N9" i="21"/>
  <c r="F20" i="38" s="1"/>
  <c r="Z9" i="21"/>
  <c r="F22" i="38" s="1"/>
  <c r="AH9" i="21"/>
  <c r="F17" i="38" s="1"/>
  <c r="F18" i="22" s="1"/>
  <c r="G12" i="21"/>
  <c r="M19" i="38" s="1"/>
  <c r="M12" i="21"/>
  <c r="M20" i="38" s="1"/>
  <c r="R12" i="21"/>
  <c r="L21" i="38" s="1"/>
  <c r="W12" i="21"/>
  <c r="K22" i="38" s="1"/>
  <c r="AC12" i="21"/>
  <c r="K23" i="38" s="1"/>
  <c r="AH12" i="21"/>
  <c r="N17" i="38" s="1"/>
  <c r="L18" i="22" s="1"/>
  <c r="F13" i="21"/>
  <c r="L11" i="38" s="1"/>
  <c r="L13" i="21"/>
  <c r="L12" i="38" s="1"/>
  <c r="Q13" i="21"/>
  <c r="K13" i="38" s="1"/>
  <c r="V13" i="21"/>
  <c r="J14" i="38" s="1"/>
  <c r="AB13" i="21"/>
  <c r="J15" i="38" s="1"/>
  <c r="AG13" i="21"/>
  <c r="O15" i="38" s="1"/>
  <c r="F14" i="21"/>
  <c r="L3" i="38" s="1"/>
  <c r="L14" i="21"/>
  <c r="L4" i="38" s="1"/>
  <c r="Q14" i="21"/>
  <c r="K5" i="38" s="1"/>
  <c r="V14" i="21"/>
  <c r="J6" i="38" s="1"/>
  <c r="AB14" i="21"/>
  <c r="J7" i="38" s="1"/>
  <c r="AG14" i="21"/>
  <c r="O7" i="38" s="1"/>
  <c r="F15" i="21"/>
  <c r="L15" i="21"/>
  <c r="Q15" i="21"/>
  <c r="V15" i="21"/>
  <c r="AB15" i="21"/>
  <c r="D16" i="21"/>
  <c r="I16" i="21"/>
  <c r="O16" i="21"/>
  <c r="T16" i="21"/>
  <c r="Y16" i="21"/>
  <c r="AF16" i="21"/>
  <c r="G17" i="21"/>
  <c r="L17" i="21"/>
  <c r="R17" i="21"/>
  <c r="W17" i="21"/>
  <c r="AB17" i="21"/>
  <c r="E18" i="21"/>
  <c r="J18" i="21"/>
  <c r="N18" i="21"/>
  <c r="R18" i="21"/>
  <c r="V18" i="21"/>
  <c r="Z18" i="21"/>
  <c r="AD18" i="21"/>
  <c r="E19" i="21"/>
  <c r="I19" i="21"/>
  <c r="M19" i="21"/>
  <c r="Q19" i="21"/>
  <c r="U19" i="21"/>
  <c r="Y19" i="21"/>
  <c r="AC19" i="21"/>
  <c r="D20" i="21"/>
  <c r="H20" i="21"/>
  <c r="L20" i="21"/>
  <c r="P20" i="21"/>
  <c r="T20" i="21"/>
  <c r="X20" i="21"/>
  <c r="AB20" i="21"/>
  <c r="AG20" i="21"/>
  <c r="G21" i="21"/>
  <c r="K21" i="21"/>
  <c r="O21" i="21"/>
  <c r="S21" i="21"/>
  <c r="W21" i="21"/>
  <c r="AA21" i="21"/>
  <c r="AF21" i="21"/>
  <c r="AE17" i="21"/>
  <c r="AI20" i="21"/>
  <c r="AE42" i="21"/>
  <c r="AH20" i="21"/>
  <c r="B19" i="21"/>
  <c r="N8" i="21"/>
  <c r="F12" i="38" s="1"/>
  <c r="T9" i="21"/>
  <c r="F21" i="38" s="1"/>
  <c r="E11" i="21"/>
  <c r="K27" i="38" s="1"/>
  <c r="O11" i="21"/>
  <c r="O28" i="38" s="1"/>
  <c r="Z11" i="21"/>
  <c r="N30" i="38" s="1"/>
  <c r="E12" i="21"/>
  <c r="K19" i="38" s="1"/>
  <c r="O12" i="21"/>
  <c r="O20" i="38" s="1"/>
  <c r="Z12" i="21"/>
  <c r="N22" i="38" s="1"/>
  <c r="D13" i="21"/>
  <c r="J11" i="38" s="1"/>
  <c r="N13" i="21"/>
  <c r="N12" i="38" s="1"/>
  <c r="Y13" i="21"/>
  <c r="M14" i="38" s="1"/>
  <c r="D14" i="21"/>
  <c r="J3" i="38" s="1"/>
  <c r="N14" i="21"/>
  <c r="N4" i="38" s="1"/>
  <c r="Y14" i="21"/>
  <c r="M6" i="38" s="1"/>
  <c r="D15" i="21"/>
  <c r="N15" i="21"/>
  <c r="Y15" i="21"/>
  <c r="G16" i="21"/>
  <c r="Q16" i="21"/>
  <c r="AB16" i="21"/>
  <c r="J17" i="21"/>
  <c r="T17" i="21"/>
  <c r="AF17" i="21"/>
  <c r="L18" i="21"/>
  <c r="T18" i="21"/>
  <c r="AB18" i="21"/>
  <c r="G19" i="21"/>
  <c r="O19" i="21"/>
  <c r="W19" i="21"/>
  <c r="AF19" i="21"/>
  <c r="J20" i="21"/>
  <c r="R20" i="21"/>
  <c r="Z20" i="21"/>
  <c r="AF20" i="21"/>
  <c r="H21" i="21"/>
  <c r="M21" i="21"/>
  <c r="R21" i="21"/>
  <c r="X21" i="21"/>
  <c r="AC21" i="21"/>
  <c r="E22" i="21"/>
  <c r="K22" i="21"/>
  <c r="O22" i="21"/>
  <c r="S22" i="21"/>
  <c r="W22" i="21"/>
  <c r="AA22" i="21"/>
  <c r="AF22" i="21"/>
  <c r="F23" i="21"/>
  <c r="J23" i="21"/>
  <c r="N23" i="21"/>
  <c r="R23" i="21"/>
  <c r="V23" i="21"/>
  <c r="Z23" i="21"/>
  <c r="AD23" i="21"/>
  <c r="E24" i="21"/>
  <c r="I24" i="21"/>
  <c r="M24" i="21"/>
  <c r="Q24" i="21"/>
  <c r="U24" i="21"/>
  <c r="Y24" i="21"/>
  <c r="AC24" i="21"/>
  <c r="D25" i="21"/>
  <c r="H25" i="21"/>
  <c r="L25" i="21"/>
  <c r="P25" i="21"/>
  <c r="T25" i="21"/>
  <c r="X25" i="21"/>
  <c r="AB25" i="21"/>
  <c r="AG25" i="21"/>
  <c r="G26" i="21"/>
  <c r="K26" i="21"/>
  <c r="O26" i="21"/>
  <c r="S26" i="21"/>
  <c r="W26" i="21"/>
  <c r="AA26" i="21"/>
  <c r="AF26" i="21"/>
  <c r="F27" i="21"/>
  <c r="J27" i="21"/>
  <c r="N27" i="21"/>
  <c r="R27" i="21"/>
  <c r="V27" i="21"/>
  <c r="Z27" i="21"/>
  <c r="AD27" i="21"/>
  <c r="C28" i="21"/>
  <c r="G28" i="21"/>
  <c r="K28" i="21"/>
  <c r="O28" i="21"/>
  <c r="S28" i="21"/>
  <c r="W28" i="21"/>
  <c r="AA28" i="21"/>
  <c r="AF28" i="21"/>
  <c r="B29" i="21"/>
  <c r="F29" i="21"/>
  <c r="J29" i="21"/>
  <c r="N29" i="21"/>
  <c r="R29" i="21"/>
  <c r="V29" i="21"/>
  <c r="Z29" i="21"/>
  <c r="AD29" i="21"/>
  <c r="AI29" i="21"/>
  <c r="E30" i="21"/>
  <c r="I30" i="21"/>
  <c r="M30" i="21"/>
  <c r="Q30" i="21"/>
  <c r="U30" i="21"/>
  <c r="Y30" i="21"/>
  <c r="AC30" i="21"/>
  <c r="AH30" i="21"/>
  <c r="D31" i="21"/>
  <c r="H31" i="21"/>
  <c r="L31" i="21"/>
  <c r="P31" i="21"/>
  <c r="T31" i="21"/>
  <c r="X31" i="21"/>
  <c r="AB31" i="21"/>
  <c r="AG31" i="21"/>
  <c r="C32" i="21"/>
  <c r="G32" i="21"/>
  <c r="K32" i="21"/>
  <c r="O32" i="21"/>
  <c r="S32" i="21"/>
  <c r="W32" i="21"/>
  <c r="AA32" i="21"/>
  <c r="AF32" i="21"/>
  <c r="B33" i="21"/>
  <c r="F33" i="21"/>
  <c r="J33" i="21"/>
  <c r="N33" i="21"/>
  <c r="R33" i="21"/>
  <c r="V33" i="21"/>
  <c r="Z33" i="21"/>
  <c r="AD33" i="21"/>
  <c r="AI33" i="21"/>
  <c r="E34" i="21"/>
  <c r="I34" i="21"/>
  <c r="M34" i="21"/>
  <c r="Q34" i="21"/>
  <c r="U34" i="21"/>
  <c r="Y34" i="21"/>
  <c r="AC34" i="21"/>
  <c r="AH34" i="21"/>
  <c r="D35" i="21"/>
  <c r="H35" i="21"/>
  <c r="L35" i="21"/>
  <c r="P35" i="21"/>
  <c r="T35" i="21"/>
  <c r="X35" i="21"/>
  <c r="AB35" i="21"/>
  <c r="AG35" i="21"/>
  <c r="C36" i="21"/>
  <c r="G36" i="21"/>
  <c r="K36" i="21"/>
  <c r="O36" i="21"/>
  <c r="AI16" i="21"/>
  <c r="AE40" i="21"/>
  <c r="AE46" i="21"/>
  <c r="B27" i="21"/>
  <c r="AI11" i="21"/>
  <c r="AD8" i="21"/>
  <c r="D15" i="38" s="1"/>
  <c r="AB9" i="21"/>
  <c r="B23" i="38" s="1"/>
  <c r="I11" i="21"/>
  <c r="O27" i="38" s="1"/>
  <c r="S11" i="21"/>
  <c r="M29" i="38" s="1"/>
  <c r="AD11" i="21"/>
  <c r="L31" i="38" s="1"/>
  <c r="I12" i="21"/>
  <c r="O19" i="38" s="1"/>
  <c r="S12" i="21"/>
  <c r="M21" i="38" s="1"/>
  <c r="AD12" i="21"/>
  <c r="L23" i="38" s="1"/>
  <c r="H13" i="21"/>
  <c r="N11" i="38" s="1"/>
  <c r="R13" i="21"/>
  <c r="L13" i="38" s="1"/>
  <c r="AC13" i="21"/>
  <c r="K15" i="38" s="1"/>
  <c r="H14" i="21"/>
  <c r="N3" i="38" s="1"/>
  <c r="R14" i="21"/>
  <c r="L5" i="38" s="1"/>
  <c r="AC14" i="21"/>
  <c r="K7" i="38" s="1"/>
  <c r="H15" i="21"/>
  <c r="R15" i="21"/>
  <c r="AC15" i="21"/>
  <c r="K16" i="21"/>
  <c r="U16" i="21"/>
  <c r="AG16" i="21"/>
  <c r="N17" i="21"/>
  <c r="X17" i="21"/>
  <c r="F18" i="21"/>
  <c r="O18" i="21"/>
  <c r="W18" i="21"/>
  <c r="AF18" i="21"/>
  <c r="J19" i="21"/>
  <c r="R19" i="21"/>
  <c r="Z19" i="21"/>
  <c r="E20" i="21"/>
  <c r="M20" i="21"/>
  <c r="U20" i="21"/>
  <c r="AA20" i="21"/>
  <c r="D21" i="21"/>
  <c r="I21" i="21"/>
  <c r="N21" i="21"/>
  <c r="T21" i="21"/>
  <c r="Y21" i="21"/>
  <c r="AD21" i="21"/>
  <c r="G22" i="21"/>
  <c r="L22" i="21"/>
  <c r="P22" i="21"/>
  <c r="T22" i="21"/>
  <c r="X22" i="21"/>
  <c r="AB22" i="21"/>
  <c r="AG22" i="21"/>
  <c r="G23" i="21"/>
  <c r="K23" i="21"/>
  <c r="O23" i="21"/>
  <c r="S23" i="21"/>
  <c r="W23" i="21"/>
  <c r="AA23" i="21"/>
  <c r="AF23" i="21"/>
  <c r="F24" i="21"/>
  <c r="J24" i="21"/>
  <c r="N24" i="21"/>
  <c r="R24" i="21"/>
  <c r="V24" i="21"/>
  <c r="Z24" i="21"/>
  <c r="AD24" i="21"/>
  <c r="E25" i="21"/>
  <c r="I25" i="21"/>
  <c r="M25" i="21"/>
  <c r="Q25" i="21"/>
  <c r="U25" i="21"/>
  <c r="Y25" i="21"/>
  <c r="AC25" i="21"/>
  <c r="D26" i="21"/>
  <c r="H26" i="21"/>
  <c r="L26" i="21"/>
  <c r="P26" i="21"/>
  <c r="T26" i="21"/>
  <c r="X26" i="21"/>
  <c r="AB26" i="21"/>
  <c r="AG26" i="21"/>
  <c r="G27" i="21"/>
  <c r="K27" i="21"/>
  <c r="O27" i="21"/>
  <c r="S27" i="21"/>
  <c r="W27" i="21"/>
  <c r="AA27" i="21"/>
  <c r="AF27" i="21"/>
  <c r="D28" i="21"/>
  <c r="H28" i="21"/>
  <c r="L28" i="21"/>
  <c r="P28" i="21"/>
  <c r="T28" i="21"/>
  <c r="X28" i="21"/>
  <c r="AB28" i="21"/>
  <c r="AG28" i="21"/>
  <c r="C29" i="21"/>
  <c r="G29" i="21"/>
  <c r="K29" i="21"/>
  <c r="O29" i="21"/>
  <c r="S29" i="21"/>
  <c r="W29" i="21"/>
  <c r="AA29" i="21"/>
  <c r="AF29" i="21"/>
  <c r="B30" i="21"/>
  <c r="F30" i="21"/>
  <c r="J30" i="21"/>
  <c r="N30" i="21"/>
  <c r="R30" i="21"/>
  <c r="V30" i="21"/>
  <c r="Z30" i="21"/>
  <c r="AD30" i="21"/>
  <c r="AI30" i="21"/>
  <c r="E31" i="21"/>
  <c r="I31" i="21"/>
  <c r="M31" i="21"/>
  <c r="Q31" i="21"/>
  <c r="U31" i="21"/>
  <c r="Y31" i="21"/>
  <c r="AC31" i="21"/>
  <c r="AH31" i="21"/>
  <c r="D32" i="21"/>
  <c r="H32" i="21"/>
  <c r="L32" i="21"/>
  <c r="P32" i="21"/>
  <c r="T32" i="21"/>
  <c r="X32" i="21"/>
  <c r="AB32" i="21"/>
  <c r="AG32" i="21"/>
  <c r="C33" i="21"/>
  <c r="G33" i="21"/>
  <c r="K33" i="21"/>
  <c r="O33" i="21"/>
  <c r="S33" i="21"/>
  <c r="W33" i="21"/>
  <c r="AA33" i="21"/>
  <c r="AF33" i="21"/>
  <c r="B34" i="21"/>
  <c r="F34" i="21"/>
  <c r="J34" i="21"/>
  <c r="N34" i="21"/>
  <c r="R34" i="21"/>
  <c r="V34" i="21"/>
  <c r="Z34" i="21"/>
  <c r="AD34" i="21"/>
  <c r="AI34" i="21"/>
  <c r="E35" i="21"/>
  <c r="I35" i="21"/>
  <c r="M35" i="21"/>
  <c r="Q35" i="21"/>
  <c r="U35" i="21"/>
  <c r="Y35" i="21"/>
  <c r="AC35" i="21"/>
  <c r="AH35" i="21"/>
  <c r="D36" i="21"/>
  <c r="H36" i="21"/>
  <c r="L36" i="21"/>
  <c r="P36" i="21"/>
  <c r="T36" i="21"/>
  <c r="X36" i="21"/>
  <c r="AB36" i="21"/>
  <c r="B8" i="21"/>
  <c r="C9" i="38" s="1"/>
  <c r="C10" i="22" s="1"/>
  <c r="R19" i="36" s="1"/>
  <c r="AE34" i="21"/>
  <c r="F9" i="21"/>
  <c r="D19" i="38" s="1"/>
  <c r="AD9" i="21"/>
  <c r="D23" i="38" s="1"/>
  <c r="J11" i="21"/>
  <c r="J28" i="38" s="1"/>
  <c r="U11" i="21"/>
  <c r="O29" i="38" s="1"/>
  <c r="AE11" i="21"/>
  <c r="M31" i="38" s="1"/>
  <c r="J12" i="21"/>
  <c r="J20" i="38" s="1"/>
  <c r="U12" i="21"/>
  <c r="O21" i="38" s="1"/>
  <c r="AE12" i="21"/>
  <c r="M23" i="38" s="1"/>
  <c r="I13" i="21"/>
  <c r="O11" i="38" s="1"/>
  <c r="T13" i="21"/>
  <c r="N13" i="38" s="1"/>
  <c r="AD13" i="21"/>
  <c r="L15" i="38" s="1"/>
  <c r="I14" i="21"/>
  <c r="O3" i="38" s="1"/>
  <c r="T14" i="21"/>
  <c r="N5" i="38" s="1"/>
  <c r="AD14" i="21"/>
  <c r="L7" i="38" s="1"/>
  <c r="I15" i="21"/>
  <c r="T15" i="21"/>
  <c r="AD15" i="21"/>
  <c r="L16" i="21"/>
  <c r="W16" i="21"/>
  <c r="D17" i="21"/>
  <c r="O17" i="21"/>
  <c r="Z17" i="21"/>
  <c r="G18" i="21"/>
  <c r="P18" i="21"/>
  <c r="X18" i="21"/>
  <c r="AG18" i="21"/>
  <c r="K19" i="21"/>
  <c r="S19" i="21"/>
  <c r="AA19" i="21"/>
  <c r="F20" i="21"/>
  <c r="N20" i="21"/>
  <c r="V20" i="21"/>
  <c r="AC20" i="21"/>
  <c r="E21" i="21"/>
  <c r="J21" i="21"/>
  <c r="B17" i="21"/>
  <c r="J8" i="21"/>
  <c r="B12" i="38" s="1"/>
  <c r="C12" i="21"/>
  <c r="M13" i="21"/>
  <c r="M12" i="38" s="1"/>
  <c r="X14" i="21"/>
  <c r="L6" i="38" s="1"/>
  <c r="E16" i="21"/>
  <c r="S17" i="21"/>
  <c r="AA18" i="21"/>
  <c r="AD19" i="21"/>
  <c r="AD20" i="21"/>
  <c r="Q21" i="21"/>
  <c r="AB21" i="21"/>
  <c r="I22" i="21"/>
  <c r="R22" i="21"/>
  <c r="Z22" i="21"/>
  <c r="E23" i="21"/>
  <c r="M23" i="21"/>
  <c r="U23" i="21"/>
  <c r="AC23" i="21"/>
  <c r="H24" i="21"/>
  <c r="P24" i="21"/>
  <c r="X24" i="21"/>
  <c r="AG24" i="21"/>
  <c r="K25" i="21"/>
  <c r="S25" i="21"/>
  <c r="AA25" i="21"/>
  <c r="F26" i="21"/>
  <c r="N26" i="21"/>
  <c r="V26" i="21"/>
  <c r="AD26" i="21"/>
  <c r="I27" i="21"/>
  <c r="Q27" i="21"/>
  <c r="Y27" i="21"/>
  <c r="B28" i="21"/>
  <c r="J28" i="21"/>
  <c r="R28" i="21"/>
  <c r="Z28" i="21"/>
  <c r="AI28" i="21"/>
  <c r="I29" i="21"/>
  <c r="Q29" i="21"/>
  <c r="Y29" i="21"/>
  <c r="AH29" i="21"/>
  <c r="H30" i="21"/>
  <c r="P30" i="21"/>
  <c r="X30" i="21"/>
  <c r="AG30" i="21"/>
  <c r="G31" i="21"/>
  <c r="O31" i="21"/>
  <c r="W31" i="21"/>
  <c r="AF31" i="21"/>
  <c r="F32" i="21"/>
  <c r="N32" i="21"/>
  <c r="V32" i="21"/>
  <c r="AD32" i="21"/>
  <c r="E33" i="21"/>
  <c r="M33" i="21"/>
  <c r="U33" i="21"/>
  <c r="AC33" i="21"/>
  <c r="D34" i="21"/>
  <c r="L34" i="21"/>
  <c r="T34" i="21"/>
  <c r="AB34" i="21"/>
  <c r="C35" i="21"/>
  <c r="K35" i="21"/>
  <c r="S35" i="21"/>
  <c r="AA35" i="21"/>
  <c r="B36" i="21"/>
  <c r="J36" i="21"/>
  <c r="R36" i="21"/>
  <c r="W36" i="21"/>
  <c r="AC36" i="21"/>
  <c r="AH36" i="21"/>
  <c r="D37" i="21"/>
  <c r="H37" i="21"/>
  <c r="L37" i="21"/>
  <c r="P37" i="21"/>
  <c r="T37" i="21"/>
  <c r="X37" i="21"/>
  <c r="AB37" i="21"/>
  <c r="AG37" i="21"/>
  <c r="C38" i="21"/>
  <c r="G38" i="21"/>
  <c r="K38" i="21"/>
  <c r="O38" i="21"/>
  <c r="S38" i="21"/>
  <c r="W38" i="21"/>
  <c r="AA38" i="21"/>
  <c r="AF38" i="21"/>
  <c r="B39" i="21"/>
  <c r="F39" i="21"/>
  <c r="J39" i="21"/>
  <c r="N39" i="21"/>
  <c r="R39" i="21"/>
  <c r="V39" i="21"/>
  <c r="Z39" i="21"/>
  <c r="AD39" i="21"/>
  <c r="AI39" i="21"/>
  <c r="E40" i="21"/>
  <c r="I40" i="21"/>
  <c r="M40" i="21"/>
  <c r="Q40" i="21"/>
  <c r="U40" i="21"/>
  <c r="Y40" i="21"/>
  <c r="AC40" i="21"/>
  <c r="AH40" i="21"/>
  <c r="D41" i="21"/>
  <c r="H41" i="21"/>
  <c r="L41" i="21"/>
  <c r="P41" i="21"/>
  <c r="T41" i="21"/>
  <c r="X41" i="21"/>
  <c r="AB41" i="21"/>
  <c r="AG41" i="21"/>
  <c r="C42" i="21"/>
  <c r="G42" i="21"/>
  <c r="K42" i="21"/>
  <c r="O42" i="21"/>
  <c r="S42" i="21"/>
  <c r="W42" i="21"/>
  <c r="AA42" i="21"/>
  <c r="AF42" i="21"/>
  <c r="B43" i="21"/>
  <c r="F43" i="21"/>
  <c r="J43" i="21"/>
  <c r="N43" i="21"/>
  <c r="R43" i="21"/>
  <c r="V43" i="21"/>
  <c r="Z43" i="21"/>
  <c r="AD43" i="21"/>
  <c r="AI43" i="21"/>
  <c r="E44" i="21"/>
  <c r="I44" i="21"/>
  <c r="M44" i="21"/>
  <c r="Q44" i="21"/>
  <c r="U44" i="21"/>
  <c r="Y44" i="21"/>
  <c r="AC44" i="21"/>
  <c r="AH44" i="21"/>
  <c r="D45" i="21"/>
  <c r="H45" i="21"/>
  <c r="L45" i="21"/>
  <c r="P45" i="21"/>
  <c r="T45" i="21"/>
  <c r="X45" i="21"/>
  <c r="AB45" i="21"/>
  <c r="AG45" i="21"/>
  <c r="C46" i="21"/>
  <c r="G46" i="21"/>
  <c r="K46" i="21"/>
  <c r="O46" i="21"/>
  <c r="S46" i="21"/>
  <c r="W46" i="21"/>
  <c r="AA46" i="21"/>
  <c r="AF46" i="21"/>
  <c r="R9" i="21"/>
  <c r="D21" i="38" s="1"/>
  <c r="C11" i="21"/>
  <c r="N12" i="21"/>
  <c r="N20" i="38" s="1"/>
  <c r="X13" i="21"/>
  <c r="L14" i="38" s="1"/>
  <c r="AH14" i="21"/>
  <c r="N1" i="38" s="1"/>
  <c r="L2" i="22" s="1"/>
  <c r="P16" i="21"/>
  <c r="AD17" i="21"/>
  <c r="F19" i="21"/>
  <c r="I20" i="21"/>
  <c r="F21" i="21"/>
  <c r="U21" i="21"/>
  <c r="AG21" i="21"/>
  <c r="M22" i="21"/>
  <c r="U22" i="21"/>
  <c r="AC22" i="21"/>
  <c r="H23" i="21"/>
  <c r="P23" i="21"/>
  <c r="X23" i="21"/>
  <c r="AG23" i="21"/>
  <c r="K24" i="21"/>
  <c r="S24" i="21"/>
  <c r="AA24" i="21"/>
  <c r="F25" i="21"/>
  <c r="N25" i="21"/>
  <c r="V25" i="21"/>
  <c r="AD25" i="21"/>
  <c r="I26" i="21"/>
  <c r="Q26" i="21"/>
  <c r="Y26" i="21"/>
  <c r="D27" i="21"/>
  <c r="L27" i="21"/>
  <c r="T27" i="21"/>
  <c r="AB27" i="21"/>
  <c r="E28" i="21"/>
  <c r="M28" i="21"/>
  <c r="U28" i="21"/>
  <c r="AC28" i="21"/>
  <c r="D29" i="21"/>
  <c r="L29" i="21"/>
  <c r="T29" i="21"/>
  <c r="AB29" i="21"/>
  <c r="C30" i="21"/>
  <c r="K30" i="21"/>
  <c r="S30" i="21"/>
  <c r="AA30" i="21"/>
  <c r="B31" i="21"/>
  <c r="J31" i="21"/>
  <c r="R31" i="21"/>
  <c r="Z31" i="21"/>
  <c r="AI31" i="21"/>
  <c r="I32" i="21"/>
  <c r="Q32" i="21"/>
  <c r="Y32" i="21"/>
  <c r="AH32" i="21"/>
  <c r="H33" i="21"/>
  <c r="P33" i="21"/>
  <c r="X33" i="21"/>
  <c r="AG33" i="21"/>
  <c r="G34" i="21"/>
  <c r="O34" i="21"/>
  <c r="W34" i="21"/>
  <c r="AF34" i="21"/>
  <c r="F35" i="21"/>
  <c r="N35" i="21"/>
  <c r="V35" i="21"/>
  <c r="AD35" i="21"/>
  <c r="E36" i="21"/>
  <c r="M36" i="21"/>
  <c r="S36" i="21"/>
  <c r="Y36" i="21"/>
  <c r="AD36" i="21"/>
  <c r="AI36" i="21"/>
  <c r="E37" i="21"/>
  <c r="I37" i="21"/>
  <c r="M37" i="21"/>
  <c r="Q37" i="21"/>
  <c r="U37" i="21"/>
  <c r="Y37" i="21"/>
  <c r="AC37" i="21"/>
  <c r="AH37" i="21"/>
  <c r="D38" i="21"/>
  <c r="H38" i="21"/>
  <c r="L38" i="21"/>
  <c r="P38" i="21"/>
  <c r="T38" i="21"/>
  <c r="X38" i="21"/>
  <c r="AB38" i="21"/>
  <c r="AG38" i="21"/>
  <c r="C39" i="21"/>
  <c r="G39" i="21"/>
  <c r="K39" i="21"/>
  <c r="O39" i="21"/>
  <c r="S39" i="21"/>
  <c r="W39" i="21"/>
  <c r="AA39" i="21"/>
  <c r="AF39" i="21"/>
  <c r="B40" i="21"/>
  <c r="F40" i="21"/>
  <c r="J40" i="21"/>
  <c r="N40" i="21"/>
  <c r="R40" i="21"/>
  <c r="V40" i="21"/>
  <c r="Z40" i="21"/>
  <c r="AD40" i="21"/>
  <c r="AI40" i="21"/>
  <c r="E41" i="21"/>
  <c r="I41" i="21"/>
  <c r="M41" i="21"/>
  <c r="Q41" i="21"/>
  <c r="U41" i="21"/>
  <c r="Y41" i="21"/>
  <c r="AC41" i="21"/>
  <c r="AH41" i="21"/>
  <c r="D42" i="21"/>
  <c r="H42" i="21"/>
  <c r="L42" i="21"/>
  <c r="P42" i="21"/>
  <c r="T42" i="21"/>
  <c r="X42" i="21"/>
  <c r="AB42" i="21"/>
  <c r="AG42" i="21"/>
  <c r="C43" i="21"/>
  <c r="G43" i="21"/>
  <c r="K43" i="21"/>
  <c r="O43" i="21"/>
  <c r="S43" i="21"/>
  <c r="W43" i="21"/>
  <c r="AA43" i="21"/>
  <c r="AF43" i="21"/>
  <c r="B44" i="21"/>
  <c r="F44" i="21"/>
  <c r="J44" i="21"/>
  <c r="N44" i="21"/>
  <c r="R44" i="21"/>
  <c r="V44" i="21"/>
  <c r="Z44" i="21"/>
  <c r="AD44" i="21"/>
  <c r="AI44" i="21"/>
  <c r="E45" i="21"/>
  <c r="I45" i="21"/>
  <c r="M45" i="21"/>
  <c r="Q45" i="21"/>
  <c r="U45" i="21"/>
  <c r="Y45" i="21"/>
  <c r="AC45" i="21"/>
  <c r="AH45" i="21"/>
  <c r="D46" i="21"/>
  <c r="H46" i="21"/>
  <c r="L46" i="21"/>
  <c r="P46" i="21"/>
  <c r="T46" i="21"/>
  <c r="X46" i="21"/>
  <c r="AB46" i="21"/>
  <c r="AG46" i="21"/>
  <c r="C10" i="21"/>
  <c r="N11" i="21"/>
  <c r="N28" i="38" s="1"/>
  <c r="Y12" i="21"/>
  <c r="M22" i="38" s="1"/>
  <c r="AH13" i="21"/>
  <c r="N9" i="38" s="1"/>
  <c r="L10" i="22" s="1"/>
  <c r="M15" i="21"/>
  <c r="AA16" i="21"/>
  <c r="K18" i="21"/>
  <c r="N19" i="21"/>
  <c r="Q20" i="21"/>
  <c r="L21" i="21"/>
  <c r="V21" i="21"/>
  <c r="D22" i="21"/>
  <c r="N22" i="21"/>
  <c r="V22" i="21"/>
  <c r="AD22" i="21"/>
  <c r="I23" i="21"/>
  <c r="Q23" i="21"/>
  <c r="Y23" i="21"/>
  <c r="D24" i="21"/>
  <c r="L24" i="21"/>
  <c r="T24" i="21"/>
  <c r="AB24" i="21"/>
  <c r="G25" i="21"/>
  <c r="O25" i="21"/>
  <c r="W25" i="21"/>
  <c r="AF25" i="21"/>
  <c r="J26" i="21"/>
  <c r="R26" i="21"/>
  <c r="Z26" i="21"/>
  <c r="E27" i="21"/>
  <c r="M27" i="21"/>
  <c r="U27" i="21"/>
  <c r="AC27" i="21"/>
  <c r="F28" i="21"/>
  <c r="N28" i="21"/>
  <c r="V28" i="21"/>
  <c r="AD28" i="21"/>
  <c r="E29" i="21"/>
  <c r="M29" i="21"/>
  <c r="U29" i="21"/>
  <c r="AC29" i="21"/>
  <c r="D30" i="21"/>
  <c r="L30" i="21"/>
  <c r="T30" i="21"/>
  <c r="AB30" i="21"/>
  <c r="C31" i="21"/>
  <c r="K31" i="21"/>
  <c r="S31" i="21"/>
  <c r="AA31" i="21"/>
  <c r="B32" i="21"/>
  <c r="J32" i="21"/>
  <c r="R32" i="21"/>
  <c r="Z32" i="21"/>
  <c r="AI32" i="21"/>
  <c r="I33" i="21"/>
  <c r="Q33" i="21"/>
  <c r="Y33" i="21"/>
  <c r="AH33" i="21"/>
  <c r="H34" i="21"/>
  <c r="P34" i="21"/>
  <c r="X34" i="21"/>
  <c r="AG34" i="21"/>
  <c r="G35" i="21"/>
  <c r="O35" i="21"/>
  <c r="W35" i="21"/>
  <c r="AF35" i="21"/>
  <c r="F36" i="21"/>
  <c r="N36" i="21"/>
  <c r="U36" i="21"/>
  <c r="Z36" i="21"/>
  <c r="AF36" i="21"/>
  <c r="B37" i="21"/>
  <c r="F37" i="21"/>
  <c r="J37" i="21"/>
  <c r="N37" i="21"/>
  <c r="R37" i="21"/>
  <c r="V37" i="21"/>
  <c r="Z37" i="21"/>
  <c r="AD37" i="21"/>
  <c r="AI37" i="21"/>
  <c r="E38" i="21"/>
  <c r="I38" i="21"/>
  <c r="M38" i="21"/>
  <c r="Q38" i="21"/>
  <c r="AE25" i="21"/>
  <c r="AH18" i="21"/>
  <c r="N10" i="21"/>
  <c r="F28" i="38" s="1"/>
  <c r="Y11" i="21"/>
  <c r="M30" i="38" s="1"/>
  <c r="AI12" i="21"/>
  <c r="M14" i="21"/>
  <c r="M4" i="38" s="1"/>
  <c r="X15" i="21"/>
  <c r="H17" i="21"/>
  <c r="S18" i="21"/>
  <c r="V19" i="21"/>
  <c r="Y20" i="21"/>
  <c r="P21" i="21"/>
  <c r="Z21" i="21"/>
  <c r="H22" i="21"/>
  <c r="Q22" i="21"/>
  <c r="Y22" i="21"/>
  <c r="D23" i="21"/>
  <c r="L23" i="21"/>
  <c r="T23" i="21"/>
  <c r="AB23" i="21"/>
  <c r="G24" i="21"/>
  <c r="O24" i="21"/>
  <c r="W24" i="21"/>
  <c r="AF24" i="21"/>
  <c r="J25" i="21"/>
  <c r="R25" i="21"/>
  <c r="Z25" i="21"/>
  <c r="E26" i="21"/>
  <c r="M26" i="21"/>
  <c r="U26" i="21"/>
  <c r="AC26" i="21"/>
  <c r="H27" i="21"/>
  <c r="P27" i="21"/>
  <c r="X27" i="21"/>
  <c r="AG27" i="21"/>
  <c r="I28" i="21"/>
  <c r="Q28" i="21"/>
  <c r="Y28" i="21"/>
  <c r="AH28" i="21"/>
  <c r="H29" i="21"/>
  <c r="P29" i="21"/>
  <c r="X29" i="21"/>
  <c r="AG29" i="21"/>
  <c r="G30" i="21"/>
  <c r="O30" i="21"/>
  <c r="W30" i="21"/>
  <c r="AF30" i="21"/>
  <c r="F31" i="21"/>
  <c r="N31" i="21"/>
  <c r="V31" i="21"/>
  <c r="AD31" i="21"/>
  <c r="E32" i="21"/>
  <c r="M32" i="21"/>
  <c r="U32" i="21"/>
  <c r="AC32" i="21"/>
  <c r="D33" i="21"/>
  <c r="L33" i="21"/>
  <c r="T33" i="21"/>
  <c r="AB33" i="21"/>
  <c r="C34" i="21"/>
  <c r="K34" i="21"/>
  <c r="S34" i="21"/>
  <c r="AA34" i="21"/>
  <c r="B35" i="21"/>
  <c r="J35" i="21"/>
  <c r="R35" i="21"/>
  <c r="Z35" i="21"/>
  <c r="AI35" i="21"/>
  <c r="I36" i="21"/>
  <c r="Q36" i="21"/>
  <c r="V36" i="21"/>
  <c r="AA36" i="21"/>
  <c r="AG36" i="21"/>
  <c r="C37" i="21"/>
  <c r="G37" i="21"/>
  <c r="K37" i="21"/>
  <c r="O37" i="21"/>
  <c r="S37" i="21"/>
  <c r="W37" i="21"/>
  <c r="AA37" i="21"/>
  <c r="AF37" i="21"/>
  <c r="B38" i="21"/>
  <c r="F38" i="21"/>
  <c r="J38" i="21"/>
  <c r="N38" i="21"/>
  <c r="R38" i="21"/>
  <c r="V38" i="21"/>
  <c r="Z38" i="21"/>
  <c r="AD38" i="21"/>
  <c r="AI38" i="21"/>
  <c r="E39" i="21"/>
  <c r="I39" i="21"/>
  <c r="M39" i="21"/>
  <c r="Q39" i="21"/>
  <c r="U39" i="21"/>
  <c r="Y39" i="21"/>
  <c r="AC39" i="21"/>
  <c r="AH39" i="21"/>
  <c r="D40" i="21"/>
  <c r="H40" i="21"/>
  <c r="L40" i="21"/>
  <c r="P40" i="21"/>
  <c r="T40" i="21"/>
  <c r="X40" i="21"/>
  <c r="AB40" i="21"/>
  <c r="AG40" i="21"/>
  <c r="C41" i="21"/>
  <c r="G41" i="21"/>
  <c r="K41" i="21"/>
  <c r="O41" i="21"/>
  <c r="S41" i="21"/>
  <c r="W41" i="21"/>
  <c r="AA41" i="21"/>
  <c r="AF41" i="21"/>
  <c r="B42" i="21"/>
  <c r="F42" i="21"/>
  <c r="J42" i="21"/>
  <c r="N42" i="21"/>
  <c r="R42" i="21"/>
  <c r="V42" i="21"/>
  <c r="Z42" i="21"/>
  <c r="AD42" i="21"/>
  <c r="AI42" i="21"/>
  <c r="E43" i="21"/>
  <c r="I43" i="21"/>
  <c r="M43" i="21"/>
  <c r="Q43" i="21"/>
  <c r="U43" i="21"/>
  <c r="Y43" i="21"/>
  <c r="AC43" i="21"/>
  <c r="AH43" i="21"/>
  <c r="D44" i="21"/>
  <c r="H44" i="21"/>
  <c r="L44" i="21"/>
  <c r="Y38" i="21"/>
  <c r="H39" i="21"/>
  <c r="X39" i="21"/>
  <c r="G40" i="21"/>
  <c r="W40" i="21"/>
  <c r="F41" i="21"/>
  <c r="V41" i="21"/>
  <c r="E42" i="21"/>
  <c r="U42" i="21"/>
  <c r="D43" i="21"/>
  <c r="T43" i="21"/>
  <c r="C44" i="21"/>
  <c r="P44" i="21"/>
  <c r="X44" i="21"/>
  <c r="AG44" i="21"/>
  <c r="G45" i="21"/>
  <c r="O45" i="21"/>
  <c r="W45" i="21"/>
  <c r="AF45" i="21"/>
  <c r="F46" i="21"/>
  <c r="N46" i="21"/>
  <c r="V46" i="21"/>
  <c r="AD46" i="21"/>
  <c r="AH7" i="21"/>
  <c r="F1" i="38" s="1"/>
  <c r="F2" i="22" s="1"/>
  <c r="C7" i="21"/>
  <c r="H7" i="21"/>
  <c r="F3" i="38" s="1"/>
  <c r="G7" i="21"/>
  <c r="E3" i="38" s="1"/>
  <c r="U7" i="21"/>
  <c r="G5" i="38" s="1"/>
  <c r="R7" i="21"/>
  <c r="D5" i="38" s="1"/>
  <c r="AF7" i="21"/>
  <c r="F7" i="38" s="1"/>
  <c r="AE7" i="21"/>
  <c r="E7" i="38" s="1"/>
  <c r="AC38" i="21"/>
  <c r="L39" i="21"/>
  <c r="AB39" i="21"/>
  <c r="K40" i="21"/>
  <c r="AA40" i="21"/>
  <c r="J41" i="21"/>
  <c r="Z41" i="21"/>
  <c r="I42" i="21"/>
  <c r="Y42" i="21"/>
  <c r="H43" i="21"/>
  <c r="X43" i="21"/>
  <c r="G44" i="21"/>
  <c r="S44" i="21"/>
  <c r="AA44" i="21"/>
  <c r="B45" i="21"/>
  <c r="J45" i="21"/>
  <c r="R45" i="21"/>
  <c r="Z45" i="21"/>
  <c r="AI45" i="21"/>
  <c r="I46" i="21"/>
  <c r="Q46" i="21"/>
  <c r="Y46" i="21"/>
  <c r="AH46" i="21"/>
  <c r="N7" i="21"/>
  <c r="F4" i="38" s="1"/>
  <c r="M7" i="21"/>
  <c r="E4" i="38" s="1"/>
  <c r="AA7" i="21"/>
  <c r="G6" i="38" s="1"/>
  <c r="AH38" i="21"/>
  <c r="P39" i="21"/>
  <c r="AG39" i="21"/>
  <c r="O40" i="21"/>
  <c r="AF40" i="21"/>
  <c r="N41" i="21"/>
  <c r="AD41" i="21"/>
  <c r="M42" i="21"/>
  <c r="AC42" i="21"/>
  <c r="L43" i="21"/>
  <c r="AB43" i="21"/>
  <c r="K44" i="21"/>
  <c r="T44" i="21"/>
  <c r="AB44" i="21"/>
  <c r="C45" i="21"/>
  <c r="K45" i="21"/>
  <c r="S45" i="21"/>
  <c r="AA45" i="21"/>
  <c r="B46" i="21"/>
  <c r="J46" i="21"/>
  <c r="R46" i="21"/>
  <c r="Z46" i="21"/>
  <c r="AI46" i="21"/>
  <c r="U38" i="21"/>
  <c r="D39" i="21"/>
  <c r="T39" i="21"/>
  <c r="C40" i="21"/>
  <c r="S40" i="21"/>
  <c r="R41" i="21"/>
  <c r="P43" i="21"/>
  <c r="AF44" i="21"/>
  <c r="AD45" i="21"/>
  <c r="AC46" i="21"/>
  <c r="L7" i="21"/>
  <c r="D4" i="38" s="1"/>
  <c r="Y7" i="21"/>
  <c r="E6" i="38" s="1"/>
  <c r="AD7" i="21"/>
  <c r="D7" i="38" s="1"/>
  <c r="Q7" i="21"/>
  <c r="C5" i="38" s="1"/>
  <c r="P7" i="21"/>
  <c r="B5" i="38" s="1"/>
  <c r="Z7" i="21"/>
  <c r="F6" i="38" s="1"/>
  <c r="K7" i="21"/>
  <c r="C4" i="38" s="1"/>
  <c r="AH42" i="21"/>
  <c r="V45" i="21"/>
  <c r="D7" i="21"/>
  <c r="B3" i="38" s="1"/>
  <c r="AI41" i="21"/>
  <c r="AG43" i="21"/>
  <c r="F45" i="21"/>
  <c r="E46" i="21"/>
  <c r="AI7" i="21"/>
  <c r="I7" i="21"/>
  <c r="G3" i="38" s="1"/>
  <c r="T7" i="21"/>
  <c r="F5" i="38" s="1"/>
  <c r="X7" i="21"/>
  <c r="D6" i="38" s="1"/>
  <c r="AG7" i="21"/>
  <c r="G7" i="38" s="1"/>
  <c r="W7" i="21"/>
  <c r="C6" i="38" s="1"/>
  <c r="AC7" i="21"/>
  <c r="C7" i="38" s="1"/>
  <c r="V7" i="21"/>
  <c r="B6" i="38" s="1"/>
  <c r="AB7" i="21"/>
  <c r="B7" i="38" s="1"/>
  <c r="M46" i="21"/>
  <c r="W44" i="21"/>
  <c r="F7" i="21"/>
  <c r="D3" i="38" s="1"/>
  <c r="Q42" i="21"/>
  <c r="O44" i="21"/>
  <c r="N45" i="21"/>
  <c r="O7" i="21"/>
  <c r="G4" i="38" s="1"/>
  <c r="J7" i="21"/>
  <c r="B4" i="38" s="1"/>
  <c r="B41" i="21"/>
  <c r="U46" i="21"/>
  <c r="S7" i="21"/>
  <c r="E5" i="38" s="1"/>
  <c r="E7" i="21"/>
  <c r="C3" i="38" s="1"/>
  <c r="B10" i="21"/>
  <c r="C25" i="38" s="1"/>
  <c r="C26" i="22" s="1"/>
  <c r="H19" i="36" s="1"/>
  <c r="L10" i="21"/>
  <c r="D28" i="38" s="1"/>
  <c r="AB10" i="21"/>
  <c r="B31" i="38" s="1"/>
  <c r="Q10" i="21"/>
  <c r="C29" i="38" s="1"/>
  <c r="G10" i="21"/>
  <c r="E27" i="38" s="1"/>
  <c r="AC10" i="21"/>
  <c r="C31" i="38" s="1"/>
  <c r="Z10" i="21"/>
  <c r="F30" i="38" s="1"/>
  <c r="J10" i="21"/>
  <c r="B28" i="38" s="1"/>
  <c r="AI15" i="21"/>
  <c r="AE37" i="21"/>
  <c r="H11" i="21"/>
  <c r="N27" i="38" s="1"/>
  <c r="X11" i="21"/>
  <c r="L30" i="38" s="1"/>
  <c r="K11" i="21"/>
  <c r="K28" i="38" s="1"/>
  <c r="AG11" i="21"/>
  <c r="O31" i="38" s="1"/>
  <c r="W11" i="21"/>
  <c r="K30" i="38" s="1"/>
  <c r="B22" i="21"/>
  <c r="J22" i="21"/>
  <c r="C27" i="21"/>
  <c r="AE41" i="21"/>
  <c r="B26" i="21"/>
  <c r="AI18" i="21"/>
  <c r="H18" i="21"/>
  <c r="AE23" i="21"/>
  <c r="AI17" i="21"/>
  <c r="AH23" i="21"/>
  <c r="D10" i="21"/>
  <c r="B27" i="38" s="1"/>
  <c r="F10" i="21"/>
  <c r="D27" i="38" s="1"/>
  <c r="R10" i="21"/>
  <c r="D29" i="38" s="1"/>
  <c r="S10" i="21"/>
  <c r="E29" i="38" s="1"/>
  <c r="B11" i="21"/>
  <c r="K25" i="38" s="1"/>
  <c r="I26" i="22" s="1"/>
  <c r="C19" i="36" s="1"/>
  <c r="AF11" i="21"/>
  <c r="N31" i="38" s="1"/>
  <c r="M11" i="21"/>
  <c r="M28" i="38" s="1"/>
  <c r="AE22" i="21"/>
  <c r="B12" i="21"/>
  <c r="K17" i="38" s="1"/>
  <c r="I18" i="22" s="1"/>
  <c r="R5" i="36" s="1"/>
  <c r="AH27" i="21"/>
  <c r="AI21" i="21"/>
  <c r="C18" i="21"/>
  <c r="AE39" i="21"/>
  <c r="AH19" i="21"/>
  <c r="H10" i="21"/>
  <c r="F27" i="38" s="1"/>
  <c r="K10" i="21"/>
  <c r="C28" i="38" s="1"/>
  <c r="AG10" i="21"/>
  <c r="G31" i="38" s="1"/>
  <c r="O10" i="21"/>
  <c r="G28" i="38" s="1"/>
  <c r="Y10" i="21"/>
  <c r="E30" i="38" s="1"/>
  <c r="T11" i="21"/>
  <c r="N29" i="38" s="1"/>
  <c r="AA11" i="21"/>
  <c r="O30" i="38" s="1"/>
  <c r="AE27" i="21"/>
  <c r="AI26" i="21"/>
  <c r="D18" i="21"/>
  <c r="AE31" i="21"/>
  <c r="AH25" i="21"/>
  <c r="AH17" i="21"/>
  <c r="AI10" i="21"/>
  <c r="P10" i="21"/>
  <c r="B29" i="38" s="1"/>
  <c r="AF10" i="21"/>
  <c r="F31" i="38" s="1"/>
  <c r="V10" i="21"/>
  <c r="B30" i="38" s="1"/>
  <c r="M10" i="21"/>
  <c r="E28" i="38" s="1"/>
  <c r="AH10" i="21"/>
  <c r="F25" i="38" s="1"/>
  <c r="F26" i="22" s="1"/>
  <c r="I10" i="21"/>
  <c r="G27" i="38" s="1"/>
  <c r="U10" i="21"/>
  <c r="G29" i="38" s="1"/>
  <c r="AH26" i="21"/>
  <c r="L11" i="21"/>
  <c r="L28" i="38" s="1"/>
  <c r="AB11" i="21"/>
  <c r="J31" i="38" s="1"/>
  <c r="Q11" i="21"/>
  <c r="K29" i="38" s="1"/>
  <c r="G11" i="21"/>
  <c r="M27" i="38" s="1"/>
  <c r="AC11" i="21"/>
  <c r="K31" i="38" s="1"/>
  <c r="AE29" i="21"/>
  <c r="C22" i="21"/>
  <c r="AE19" i="21"/>
  <c r="AE45" i="21"/>
  <c r="AI27" i="21"/>
  <c r="AE35" i="21"/>
  <c r="C26" i="21"/>
  <c r="B18" i="21"/>
  <c r="AH21" i="21"/>
  <c r="T10" i="21"/>
  <c r="F29" i="38" s="1"/>
  <c r="AA10" i="21"/>
  <c r="G30" i="38" s="1"/>
  <c r="E10" i="21"/>
  <c r="C27" i="38" s="1"/>
  <c r="AE10" i="21"/>
  <c r="E31" i="38" s="1"/>
  <c r="P11" i="21"/>
  <c r="J29" i="38" s="1"/>
  <c r="V11" i="21"/>
  <c r="J30" i="38" s="1"/>
  <c r="AH11" i="21"/>
  <c r="N25" i="38" s="1"/>
  <c r="L26" i="22" s="1"/>
  <c r="AH22" i="21"/>
  <c r="AE33" i="21"/>
  <c r="AE26" i="21"/>
  <c r="X10" i="21"/>
  <c r="D30" i="38" s="1"/>
  <c r="W10" i="21"/>
  <c r="C30" i="38" s="1"/>
  <c r="AD10" i="21"/>
  <c r="D31" i="38" s="1"/>
  <c r="AE43" i="21"/>
  <c r="D11" i="21"/>
  <c r="J27" i="38" s="1"/>
  <c r="F11" i="21"/>
  <c r="L27" i="38" s="1"/>
  <c r="R11" i="21"/>
  <c r="L29" i="38" s="1"/>
  <c r="AI22" i="21"/>
  <c r="F22" i="21"/>
  <c r="AI25" i="21"/>
  <c r="AE18" i="21"/>
  <c r="R35" i="36" l="1"/>
  <c r="L15" i="32"/>
  <c r="H35" i="36"/>
  <c r="L14" i="32"/>
  <c r="M35" i="36"/>
  <c r="M51" i="36" s="1"/>
  <c r="L13" i="32"/>
  <c r="C35" i="36"/>
  <c r="H51" i="36" s="1"/>
  <c r="L12" i="32"/>
  <c r="I31" i="38"/>
  <c r="I5" i="38"/>
  <c r="A22" i="38"/>
  <c r="I20" i="38"/>
  <c r="A29" i="38"/>
  <c r="I13" i="38"/>
  <c r="A27" i="38"/>
  <c r="A28" i="38"/>
  <c r="I22" i="38"/>
  <c r="B18" i="32"/>
  <c r="F18" i="32"/>
  <c r="D18" i="32"/>
  <c r="E18" i="32"/>
  <c r="I14" i="38"/>
  <c r="I19" i="38"/>
  <c r="B22" i="32"/>
  <c r="F22" i="32"/>
  <c r="D22" i="32"/>
  <c r="E22" i="32"/>
  <c r="F21" i="32"/>
  <c r="E21" i="32"/>
  <c r="B21" i="32"/>
  <c r="D21" i="32"/>
  <c r="A15" i="38"/>
  <c r="E24" i="32"/>
  <c r="D24" i="32"/>
  <c r="F24" i="32"/>
  <c r="B24" i="32"/>
  <c r="A30" i="38"/>
  <c r="I28" i="38"/>
  <c r="I7" i="38"/>
  <c r="I21" i="38"/>
  <c r="A31" i="38"/>
  <c r="I27" i="38"/>
  <c r="A6" i="38"/>
  <c r="A5" i="38"/>
  <c r="A4" i="38"/>
  <c r="B26" i="32"/>
  <c r="F26" i="32"/>
  <c r="D26" i="32"/>
  <c r="E26" i="32"/>
  <c r="I11" i="38"/>
  <c r="I12" i="38"/>
  <c r="A21" i="38"/>
  <c r="A20" i="38"/>
  <c r="I6" i="38"/>
  <c r="I23" i="38"/>
  <c r="A23" i="38"/>
  <c r="F25" i="32"/>
  <c r="E25" i="32"/>
  <c r="B25" i="32"/>
  <c r="D25" i="32"/>
  <c r="F17" i="32"/>
  <c r="E17" i="32"/>
  <c r="B17" i="32"/>
  <c r="D17" i="32"/>
  <c r="A19" i="38"/>
  <c r="A11" i="38"/>
  <c r="E19" i="32"/>
  <c r="F19" i="32"/>
  <c r="B19" i="32"/>
  <c r="D19" i="32"/>
  <c r="E27" i="32"/>
  <c r="F27" i="32"/>
  <c r="B27" i="32"/>
  <c r="D27" i="32"/>
  <c r="F20" i="32"/>
  <c r="D20" i="32"/>
  <c r="E20" i="32"/>
  <c r="B20" i="32"/>
  <c r="I29" i="38"/>
  <c r="E23" i="32"/>
  <c r="F23" i="32"/>
  <c r="B23" i="32"/>
  <c r="D23" i="32"/>
  <c r="A7" i="38"/>
  <c r="A3" i="38"/>
  <c r="I3" i="38"/>
  <c r="I4" i="38"/>
  <c r="I30" i="38"/>
  <c r="A12" i="38"/>
  <c r="A14" i="38"/>
  <c r="I15" i="38"/>
  <c r="E16" i="32"/>
  <c r="B16" i="32"/>
  <c r="F16" i="32"/>
  <c r="D16" i="32"/>
  <c r="A13" i="38"/>
  <c r="N57" i="36" l="1"/>
  <c r="H65" i="36"/>
  <c r="B9" i="32" s="1"/>
  <c r="M65" i="36"/>
  <c r="B8" i="32" s="1"/>
  <c r="F8" i="32" s="1"/>
  <c r="D9" i="32"/>
  <c r="E9" i="32"/>
  <c r="F9" i="32"/>
  <c r="J12" i="32"/>
  <c r="M12" i="32"/>
  <c r="K12" i="32"/>
  <c r="J14" i="32"/>
  <c r="M14" i="32"/>
  <c r="K14" i="32"/>
  <c r="J13" i="32"/>
  <c r="M13" i="32"/>
  <c r="K13" i="32"/>
  <c r="M15" i="32"/>
  <c r="K15" i="32"/>
  <c r="J15" i="32"/>
  <c r="B10" i="32"/>
  <c r="B11" i="32"/>
  <c r="L30" i="22"/>
  <c r="L32" i="22"/>
  <c r="L29" i="22"/>
  <c r="L28" i="22"/>
  <c r="L31" i="22"/>
  <c r="L6" i="22"/>
  <c r="L8" i="22"/>
  <c r="L4" i="22"/>
  <c r="L7" i="22"/>
  <c r="L5" i="22"/>
  <c r="F13" i="22"/>
  <c r="F14" i="22"/>
  <c r="F15" i="22"/>
  <c r="F12" i="22"/>
  <c r="F16" i="22"/>
  <c r="L13" i="22"/>
  <c r="L15" i="22"/>
  <c r="L16" i="22"/>
  <c r="L12" i="22"/>
  <c r="L14" i="22"/>
  <c r="F6" i="22"/>
  <c r="F4" i="22"/>
  <c r="F8" i="22"/>
  <c r="F7" i="22"/>
  <c r="F5" i="22"/>
  <c r="F21" i="22"/>
  <c r="F23" i="22"/>
  <c r="F24" i="22"/>
  <c r="F22" i="22"/>
  <c r="F20" i="22"/>
  <c r="L21" i="22"/>
  <c r="L23" i="22"/>
  <c r="L24" i="22"/>
  <c r="L20" i="22"/>
  <c r="L22" i="22"/>
  <c r="F31" i="22"/>
  <c r="F28" i="22"/>
  <c r="F32" i="22"/>
  <c r="F30" i="22"/>
  <c r="F29" i="22"/>
  <c r="E8" i="32" l="1"/>
  <c r="D8" i="32"/>
  <c r="E12" i="32"/>
  <c r="E13" i="32"/>
  <c r="E14" i="32"/>
  <c r="E15" i="32"/>
  <c r="D11" i="32"/>
  <c r="F11" i="32"/>
  <c r="E11" i="32"/>
  <c r="D10" i="32"/>
  <c r="F10" i="32"/>
  <c r="E10" i="32"/>
  <c r="D29" i="22"/>
  <c r="E29" i="22"/>
  <c r="C29" i="22"/>
  <c r="B29" i="22"/>
  <c r="H21" i="36" s="1"/>
  <c r="C31" i="22"/>
  <c r="B31" i="22"/>
  <c r="H23" i="36" s="1"/>
  <c r="D31" i="22"/>
  <c r="E31" i="22"/>
  <c r="I23" i="22"/>
  <c r="H23" i="22"/>
  <c r="R9" i="36" s="1"/>
  <c r="J23" i="22"/>
  <c r="K23" i="22"/>
  <c r="E24" i="22"/>
  <c r="D24" i="22"/>
  <c r="C24" i="22"/>
  <c r="B24" i="22"/>
  <c r="M10" i="36" s="1"/>
  <c r="B7" i="22"/>
  <c r="C9" i="36" s="1"/>
  <c r="E7" i="22"/>
  <c r="C7" i="22"/>
  <c r="D7" i="22"/>
  <c r="K14" i="22"/>
  <c r="H14" i="22"/>
  <c r="M22" i="36" s="1"/>
  <c r="J14" i="22"/>
  <c r="I14" i="22"/>
  <c r="J13" i="22"/>
  <c r="K13" i="22"/>
  <c r="I13" i="22"/>
  <c r="H13" i="22"/>
  <c r="M21" i="36" s="1"/>
  <c r="B14" i="22"/>
  <c r="R22" i="36" s="1"/>
  <c r="C14" i="22"/>
  <c r="E14" i="22"/>
  <c r="D14" i="22"/>
  <c r="I4" i="22"/>
  <c r="H4" i="22"/>
  <c r="H6" i="36" s="1"/>
  <c r="K4" i="22"/>
  <c r="J4" i="22"/>
  <c r="K28" i="22"/>
  <c r="J28" i="22"/>
  <c r="H28" i="22"/>
  <c r="C20" i="36" s="1"/>
  <c r="I28" i="22"/>
  <c r="D30" i="22"/>
  <c r="E30" i="22"/>
  <c r="C30" i="22"/>
  <c r="B30" i="22"/>
  <c r="H22" i="36" s="1"/>
  <c r="K22" i="22"/>
  <c r="H22" i="22"/>
  <c r="R8" i="36" s="1"/>
  <c r="J22" i="22"/>
  <c r="I22" i="22"/>
  <c r="J21" i="22"/>
  <c r="K21" i="22"/>
  <c r="I21" i="22"/>
  <c r="H21" i="22"/>
  <c r="R7" i="36" s="1"/>
  <c r="C23" i="22"/>
  <c r="B23" i="22"/>
  <c r="M9" i="36" s="1"/>
  <c r="D23" i="22"/>
  <c r="E23" i="22"/>
  <c r="E8" i="22"/>
  <c r="C8" i="22"/>
  <c r="B8" i="22"/>
  <c r="C10" i="36" s="1"/>
  <c r="D8" i="22"/>
  <c r="K12" i="22"/>
  <c r="J12" i="22"/>
  <c r="I12" i="22"/>
  <c r="H12" i="22"/>
  <c r="M20" i="36" s="1"/>
  <c r="E16" i="22"/>
  <c r="D16" i="22"/>
  <c r="C16" i="22"/>
  <c r="B16" i="22"/>
  <c r="R24" i="36" s="1"/>
  <c r="E13" i="22"/>
  <c r="D13" i="22"/>
  <c r="B13" i="22"/>
  <c r="R21" i="36" s="1"/>
  <c r="C13" i="22"/>
  <c r="H8" i="22"/>
  <c r="H10" i="36" s="1"/>
  <c r="K8" i="22"/>
  <c r="J8" i="22"/>
  <c r="I8" i="22"/>
  <c r="H29" i="22"/>
  <c r="C21" i="36" s="1"/>
  <c r="J29" i="22"/>
  <c r="I29" i="22"/>
  <c r="K29" i="22"/>
  <c r="B32" i="22"/>
  <c r="H24" i="36" s="1"/>
  <c r="C32" i="22"/>
  <c r="E32" i="22"/>
  <c r="D32" i="22"/>
  <c r="H20" i="22"/>
  <c r="R6" i="36" s="1"/>
  <c r="J20" i="22"/>
  <c r="K20" i="22"/>
  <c r="I20" i="22"/>
  <c r="D20" i="22"/>
  <c r="C20" i="22"/>
  <c r="E20" i="22"/>
  <c r="B20" i="22"/>
  <c r="M6" i="36" s="1"/>
  <c r="D21" i="22"/>
  <c r="B21" i="22"/>
  <c r="M7" i="36" s="1"/>
  <c r="E21" i="22"/>
  <c r="C21" i="22"/>
  <c r="C4" i="22"/>
  <c r="D4" i="22"/>
  <c r="E4" i="22"/>
  <c r="B4" i="22"/>
  <c r="C6" i="36" s="1"/>
  <c r="K16" i="22"/>
  <c r="J16" i="22"/>
  <c r="I16" i="22"/>
  <c r="H16" i="22"/>
  <c r="M24" i="36" s="1"/>
  <c r="E12" i="22"/>
  <c r="D12" i="22"/>
  <c r="B12" i="22"/>
  <c r="R20" i="36" s="1"/>
  <c r="C12" i="22"/>
  <c r="K5" i="22"/>
  <c r="I5" i="22"/>
  <c r="H5" i="22"/>
  <c r="H7" i="36" s="1"/>
  <c r="J5" i="22"/>
  <c r="J6" i="22"/>
  <c r="I6" i="22"/>
  <c r="K6" i="22"/>
  <c r="H6" i="22"/>
  <c r="H8" i="36" s="1"/>
  <c r="I32" i="22"/>
  <c r="J32" i="22"/>
  <c r="K32" i="22"/>
  <c r="H32" i="22"/>
  <c r="C24" i="36" s="1"/>
  <c r="B28" i="22"/>
  <c r="H20" i="36" s="1"/>
  <c r="C28" i="22"/>
  <c r="D28" i="22"/>
  <c r="E28" i="22"/>
  <c r="K24" i="22"/>
  <c r="J24" i="22"/>
  <c r="I24" i="22"/>
  <c r="H24" i="22"/>
  <c r="R10" i="36" s="1"/>
  <c r="M40" i="36" s="1"/>
  <c r="E22" i="22"/>
  <c r="B22" i="22"/>
  <c r="M8" i="36" s="1"/>
  <c r="D22" i="22"/>
  <c r="C22" i="22"/>
  <c r="C5" i="22"/>
  <c r="B5" i="22"/>
  <c r="C7" i="36" s="1"/>
  <c r="D5" i="22"/>
  <c r="E5" i="22"/>
  <c r="E6" i="22"/>
  <c r="D6" i="22"/>
  <c r="C6" i="22"/>
  <c r="B6" i="22"/>
  <c r="C8" i="36" s="1"/>
  <c r="I15" i="22"/>
  <c r="H15" i="22"/>
  <c r="M23" i="36" s="1"/>
  <c r="K15" i="22"/>
  <c r="J15" i="22"/>
  <c r="C15" i="22"/>
  <c r="B15" i="22"/>
  <c r="R23" i="36" s="1"/>
  <c r="D15" i="22"/>
  <c r="E15" i="22"/>
  <c r="K7" i="22"/>
  <c r="J7" i="22"/>
  <c r="I7" i="22"/>
  <c r="H7" i="22"/>
  <c r="H9" i="36" s="1"/>
  <c r="C39" i="36" s="1"/>
  <c r="H55" i="36" s="1"/>
  <c r="J31" i="22"/>
  <c r="K31" i="22"/>
  <c r="H31" i="22"/>
  <c r="C23" i="36" s="1"/>
  <c r="I31" i="22"/>
  <c r="H30" i="22"/>
  <c r="C22" i="36" s="1"/>
  <c r="I30" i="22"/>
  <c r="K30" i="22"/>
  <c r="J30" i="22"/>
  <c r="R37" i="36" l="1"/>
  <c r="H38" i="36"/>
  <c r="C40" i="36"/>
  <c r="H56" i="36" s="1"/>
  <c r="H40" i="36"/>
  <c r="H70" i="36" s="1"/>
  <c r="R39" i="36"/>
  <c r="M38" i="36"/>
  <c r="M54" i="36" s="1"/>
  <c r="R38" i="36"/>
  <c r="M36" i="36"/>
  <c r="M52" i="36" s="1"/>
  <c r="H37" i="36"/>
  <c r="M37" i="36"/>
  <c r="C38" i="36"/>
  <c r="H54" i="36" s="1"/>
  <c r="H39" i="36"/>
  <c r="H69" i="36" s="1"/>
  <c r="C36" i="36"/>
  <c r="H52" i="36" s="1"/>
  <c r="M39" i="36"/>
  <c r="M55" i="36" s="1"/>
  <c r="D15" i="32"/>
  <c r="B15" i="32"/>
  <c r="F15" i="32" s="1"/>
  <c r="B14" i="32"/>
  <c r="F14" i="32" s="1"/>
  <c r="D14" i="32"/>
  <c r="M56" i="36"/>
  <c r="R40" i="36"/>
  <c r="M70" i="36" s="1"/>
  <c r="R36" i="36"/>
  <c r="B13" i="32"/>
  <c r="F13" i="32" s="1"/>
  <c r="D13" i="32"/>
  <c r="C37" i="36"/>
  <c r="H53" i="36" s="1"/>
  <c r="H36" i="36"/>
  <c r="D12" i="32"/>
  <c r="B12" i="32"/>
  <c r="F12" i="32" s="1"/>
  <c r="H68" i="36"/>
  <c r="H67" i="36" l="1"/>
  <c r="M69" i="36"/>
  <c r="M66" i="36"/>
  <c r="M68" i="36"/>
  <c r="H66" i="36"/>
  <c r="M67" i="36"/>
  <c r="M53" i="36"/>
</calcChain>
</file>

<file path=xl/sharedStrings.xml><?xml version="1.0" encoding="utf-8"?>
<sst xmlns="http://schemas.openxmlformats.org/spreadsheetml/2006/main" count="182" uniqueCount="56">
  <si>
    <t>DEMI-FINALES</t>
  </si>
  <si>
    <t>2ème Tireur</t>
  </si>
  <si>
    <t>3ème Tireur</t>
  </si>
  <si>
    <t>4ème Tireur</t>
  </si>
  <si>
    <t>5ème Tireur</t>
  </si>
  <si>
    <t>Discipline :</t>
  </si>
  <si>
    <t>NOM Prénom :</t>
  </si>
  <si>
    <t>téléphone :</t>
  </si>
  <si>
    <t>PLACE</t>
  </si>
  <si>
    <t>CLUBS</t>
  </si>
  <si>
    <t>M Q</t>
  </si>
  <si>
    <t>FINALE</t>
  </si>
  <si>
    <t>RESPONSABLE DE LA SAISIE</t>
  </si>
  <si>
    <t>CLUB N°1</t>
  </si>
  <si>
    <t>NOMS</t>
  </si>
  <si>
    <t>série 1</t>
  </si>
  <si>
    <t>Nombre d'équipe :</t>
  </si>
  <si>
    <t>Ce programme n'est pas protégé, je vous conseille d'en créer une copie avant utilisation afin de pallier à de possibles erreurs de manipulation. Pour tout problème lié aux règlements, veuillez consulter le document : mode d'emploi cdfc 10m.pdf.
Pour toute information complémentaire ou modification particulière, contacter :</t>
  </si>
  <si>
    <t>(EN MAJUSCULE)</t>
  </si>
  <si>
    <t>adresse électronique :</t>
  </si>
  <si>
    <t>COMPETITION</t>
  </si>
  <si>
    <t>LIGUE :</t>
  </si>
  <si>
    <t>(CARABINE ou PISTOLET)</t>
  </si>
  <si>
    <t>saison :</t>
  </si>
  <si>
    <t>1/4 finalistes sortants</t>
  </si>
  <si>
    <t>date :</t>
  </si>
  <si>
    <t>lieu :</t>
  </si>
  <si>
    <t>CLUBS QUALIFIES EN PHASE FINALE</t>
  </si>
  <si>
    <t>1er Tireur</t>
  </si>
  <si>
    <t>n° CLUB</t>
  </si>
  <si>
    <t>PETITE
FINALE</t>
  </si>
  <si>
    <t>série 2</t>
  </si>
  <si>
    <t>1 / 4   FINALES</t>
  </si>
  <si>
    <t>série 3</t>
  </si>
  <si>
    <t>POINTS</t>
  </si>
  <si>
    <t>CLUB N°2</t>
  </si>
  <si>
    <t>Nom</t>
  </si>
  <si>
    <t>Séries</t>
  </si>
  <si>
    <t>Total</t>
  </si>
  <si>
    <t>PETITE FINALE</t>
  </si>
  <si>
    <t>CLUB</t>
  </si>
  <si>
    <t>TOTAL</t>
  </si>
  <si>
    <t>Bar.</t>
  </si>
  <si>
    <t>POSTE</t>
  </si>
  <si>
    <t>PROGRAMME DE GESTION 
CHAMPIONNAT DE FRANCE DES CLUBS
10 METRES</t>
  </si>
  <si>
    <t>N° club</t>
  </si>
  <si>
    <t>Cl.</t>
  </si>
  <si>
    <t>TT</t>
  </si>
  <si>
    <t>LIGUE</t>
  </si>
  <si>
    <t>M*</t>
  </si>
  <si>
    <t>séries</t>
  </si>
  <si>
    <r>
      <rPr>
        <b/>
        <sz val="30"/>
        <rFont val="Arial"/>
        <family val="2"/>
      </rPr>
      <t>1er TOUR</t>
    </r>
    <r>
      <rPr>
        <b/>
        <sz val="40"/>
        <rFont val="Arial"/>
        <family val="2"/>
      </rPr>
      <t xml:space="preserve">        1/4 FINALES         </t>
    </r>
    <r>
      <rPr>
        <b/>
        <sz val="30"/>
        <rFont val="Arial"/>
        <family val="2"/>
      </rPr>
      <t>2e  TOUR</t>
    </r>
  </si>
  <si>
    <t>M* TT</t>
  </si>
  <si>
    <t>Service OCC</t>
  </si>
  <si>
    <t>01 58 05 45 45</t>
  </si>
  <si>
    <t>occ@fftir.org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</si>
</sst>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C]d\ mmmm\ yyyy;@"/>
    <numFmt numFmtId="165" formatCode="##\.##\.###"/>
    <numFmt numFmtId="166" formatCode="0.000000000"/>
    <numFmt numFmtId="167" formatCode="0.0000000000"/>
    <numFmt numFmtId="168" formatCode="0.0000000000000000"/>
    <numFmt numFmtId="169" formatCode="0.0000000000000000000"/>
  </numFmts>
  <fonts count="80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sz val="12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6"/>
      <name val="Arial Narrow"/>
      <family val="2"/>
    </font>
    <font>
      <sz val="25"/>
      <name val="Arial Black"/>
      <family val="2"/>
    </font>
    <font>
      <b/>
      <sz val="16"/>
      <name val="Arial Narrow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48"/>
      <name val="Arial Black"/>
      <family val="2"/>
    </font>
    <font>
      <b/>
      <sz val="20"/>
      <name val="Arial Narrow"/>
      <family val="2"/>
    </font>
    <font>
      <b/>
      <i/>
      <sz val="14"/>
      <name val="Arial"/>
      <family val="2"/>
    </font>
    <font>
      <sz val="18"/>
      <name val="Arial Narrow"/>
      <family val="2"/>
    </font>
    <font>
      <b/>
      <sz val="18"/>
      <name val="Arial Narrow"/>
      <family val="2"/>
    </font>
    <font>
      <b/>
      <sz val="18"/>
      <color indexed="9"/>
      <name val="Arial Narrow"/>
      <family val="2"/>
    </font>
    <font>
      <sz val="48"/>
      <color indexed="18"/>
      <name val="Arial Black"/>
      <family val="2"/>
    </font>
    <font>
      <sz val="45"/>
      <color indexed="18"/>
      <name val="Arial Black"/>
      <family val="2"/>
    </font>
    <font>
      <sz val="18"/>
      <color indexed="55"/>
      <name val="Arial Narrow"/>
      <family val="2"/>
    </font>
    <font>
      <sz val="30"/>
      <color indexed="18"/>
      <name val="Arial Black"/>
      <family val="2"/>
    </font>
    <font>
      <b/>
      <sz val="50"/>
      <name val="Arial"/>
      <family val="2"/>
    </font>
    <font>
      <b/>
      <sz val="14"/>
      <name val="Arial"/>
      <family val="2"/>
    </font>
    <font>
      <sz val="10"/>
      <color indexed="55"/>
      <name val="Arial Narrow"/>
      <family val="2"/>
    </font>
    <font>
      <b/>
      <sz val="14"/>
      <name val="Arial Narrow"/>
      <family val="2"/>
    </font>
    <font>
      <sz val="10"/>
      <color indexed="9"/>
      <name val="Arial"/>
      <family val="2"/>
    </font>
    <font>
      <sz val="50"/>
      <name val="Arial"/>
      <family val="2"/>
    </font>
    <font>
      <b/>
      <sz val="15"/>
      <color indexed="23"/>
      <name val="Arial"/>
      <family val="2"/>
    </font>
    <font>
      <b/>
      <sz val="15"/>
      <name val="Arial"/>
      <family val="2"/>
    </font>
    <font>
      <b/>
      <sz val="60"/>
      <name val="Arial Narrow"/>
      <family val="2"/>
    </font>
    <font>
      <b/>
      <sz val="18"/>
      <color indexed="23"/>
      <name val="Arial Narrow"/>
      <family val="2"/>
    </font>
    <font>
      <b/>
      <sz val="20"/>
      <color indexed="23"/>
      <name val="Arial Narrow"/>
      <family val="2"/>
    </font>
    <font>
      <b/>
      <sz val="16"/>
      <color indexed="23"/>
      <name val="Arial Narrow"/>
      <family val="2"/>
    </font>
    <font>
      <sz val="45"/>
      <color indexed="18"/>
      <name val="Arial Narrow"/>
      <family val="2"/>
    </font>
    <font>
      <sz val="48"/>
      <name val="Arial Narrow"/>
      <family val="2"/>
    </font>
    <font>
      <sz val="30"/>
      <name val="Arial Black"/>
      <family val="2"/>
    </font>
    <font>
      <sz val="15"/>
      <color indexed="23"/>
      <name val="Arial Narrow"/>
      <family val="2"/>
    </font>
    <font>
      <b/>
      <sz val="20"/>
      <color indexed="22"/>
      <name val="Arial Narrow"/>
      <family val="2"/>
    </font>
    <font>
      <b/>
      <sz val="40"/>
      <name val="Arial"/>
      <family val="2"/>
    </font>
    <font>
      <b/>
      <sz val="50"/>
      <color indexed="55"/>
      <name val="Arial"/>
      <family val="2"/>
    </font>
    <font>
      <sz val="50"/>
      <color indexed="55"/>
      <name val="Arial Black"/>
      <family val="2"/>
    </font>
    <font>
      <b/>
      <sz val="10"/>
      <color indexed="9"/>
      <name val="Arial"/>
      <family val="2"/>
    </font>
    <font>
      <b/>
      <sz val="10"/>
      <name val="Arial Narrow"/>
      <family val="2"/>
    </font>
    <font>
      <b/>
      <sz val="22"/>
      <name val="Arial Narrow"/>
      <family val="2"/>
    </font>
    <font>
      <sz val="15"/>
      <color indexed="55"/>
      <name val="Arial Narrow"/>
      <family val="2"/>
    </font>
    <font>
      <sz val="20"/>
      <color theme="0" tint="-0.249977111117893"/>
      <name val="Arial Narrow"/>
      <family val="2"/>
    </font>
    <font>
      <u/>
      <sz val="10"/>
      <color theme="11"/>
      <name val="Verdana"/>
      <family val="2"/>
    </font>
    <font>
      <sz val="14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b/>
      <sz val="30"/>
      <name val="Arial"/>
      <family val="2"/>
    </font>
    <font>
      <b/>
      <sz val="22"/>
      <name val="Arial"/>
      <family val="2"/>
    </font>
    <font>
      <b/>
      <sz val="80"/>
      <name val="Helvetica Neue"/>
      <family val="2"/>
    </font>
    <font>
      <b/>
      <sz val="28"/>
      <name val="Helvetica Neue"/>
      <family val="2"/>
    </font>
    <font>
      <b/>
      <sz val="32"/>
      <name val="Helvetica Neue"/>
      <family val="2"/>
    </font>
    <font>
      <b/>
      <sz val="50"/>
      <color theme="0"/>
      <name val="Helvetica Neue"/>
      <family val="2"/>
    </font>
    <font>
      <sz val="50"/>
      <color theme="0"/>
      <name val="Helvetica Neue"/>
      <family val="2"/>
    </font>
    <font>
      <sz val="50"/>
      <name val="Helvetica Neue"/>
      <family val="2"/>
    </font>
    <font>
      <b/>
      <sz val="50"/>
      <color theme="0" tint="-0.499984740745262"/>
      <name val="Helvetica Neue"/>
      <family val="2"/>
    </font>
    <font>
      <b/>
      <sz val="50"/>
      <name val="Helvetica Neue"/>
      <family val="2"/>
    </font>
    <font>
      <b/>
      <sz val="34"/>
      <color theme="0" tint="-0.249977111117893"/>
      <name val="Helvetica Neue"/>
      <family val="2"/>
    </font>
    <font>
      <b/>
      <sz val="30"/>
      <name val="Helvetica Neue"/>
      <family val="2"/>
    </font>
    <font>
      <b/>
      <sz val="40"/>
      <color theme="0"/>
      <name val="Helvetica Neue"/>
      <family val="2"/>
    </font>
    <font>
      <sz val="40"/>
      <color theme="0"/>
      <name val="Helvetica Neue"/>
      <family val="2"/>
    </font>
    <font>
      <b/>
      <sz val="32"/>
      <color theme="0" tint="-0.499984740745262"/>
      <name val="Helvetica Neue"/>
      <family val="2"/>
    </font>
    <font>
      <b/>
      <sz val="36"/>
      <name val="Helvetica Neue"/>
      <family val="2"/>
    </font>
    <font>
      <b/>
      <sz val="28"/>
      <color theme="0" tint="-0.249977111117893"/>
      <name val="Helvetica Neue"/>
      <family val="2"/>
    </font>
    <font>
      <sz val="30"/>
      <name val="Helvetica Neue"/>
      <family val="2"/>
    </font>
    <font>
      <b/>
      <sz val="40"/>
      <color theme="0" tint="-0.249977111117893"/>
      <name val="Helvetica Neue"/>
      <family val="2"/>
    </font>
    <font>
      <b/>
      <sz val="30"/>
      <color theme="0" tint="-0.34998626667073579"/>
      <name val="Helvetica Neue"/>
      <family val="2"/>
    </font>
    <font>
      <sz val="24"/>
      <name val="Helvetica Neue"/>
      <family val="2"/>
    </font>
    <font>
      <b/>
      <sz val="72"/>
      <name val="Helvetica Neue"/>
      <family val="2"/>
    </font>
    <font>
      <b/>
      <sz val="15"/>
      <color theme="0"/>
      <name val="Arial Narrow"/>
      <family val="2"/>
    </font>
    <font>
      <b/>
      <sz val="15"/>
      <name val="Arial Narrow"/>
      <family val="2"/>
    </font>
    <font>
      <b/>
      <sz val="34"/>
      <color rgb="FFFF0000"/>
      <name val="Helvetica Neue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ECD3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auto="1"/>
      </bottom>
      <diagonal/>
    </border>
    <border>
      <left style="thin">
        <color theme="0" tint="-0.499984740745262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theme="0" tint="-0.499984740745262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theme="0" tint="-0.499984740745262"/>
      </bottom>
      <diagonal/>
    </border>
    <border>
      <left style="thick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/>
      <bottom style="thin">
        <color theme="0" tint="-0.499984740745262"/>
      </bottom>
      <diagonal/>
    </border>
    <border>
      <left style="thick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ck">
        <color theme="0"/>
      </right>
      <top style="medium">
        <color auto="1"/>
      </top>
      <bottom/>
      <diagonal/>
    </border>
    <border>
      <left style="thick">
        <color theme="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theme="0"/>
      </right>
      <top/>
      <bottom/>
      <diagonal/>
    </border>
    <border>
      <left style="thick">
        <color theme="0"/>
      </left>
      <right style="medium">
        <color auto="1"/>
      </right>
      <top/>
      <bottom/>
      <diagonal/>
    </border>
    <border>
      <left style="medium">
        <color auto="1"/>
      </left>
      <right style="thick">
        <color theme="0"/>
      </right>
      <top/>
      <bottom style="medium">
        <color auto="1"/>
      </bottom>
      <diagonal/>
    </border>
    <border>
      <left style="thick">
        <color theme="0"/>
      </left>
      <right style="medium">
        <color auto="1"/>
      </right>
      <top/>
      <bottom style="medium">
        <color auto="1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</cellStyleXfs>
  <cellXfs count="304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2" applyFont="1" applyAlignment="1">
      <alignment horizontal="right" vertical="center" wrapText="1"/>
    </xf>
    <xf numFmtId="164" fontId="12" fillId="0" borderId="8" xfId="0" applyNumberFormat="1" applyFont="1" applyBorder="1" applyAlignment="1" applyProtection="1">
      <alignment horizontal="left" vertical="center"/>
      <protection locked="0"/>
    </xf>
    <xf numFmtId="0" fontId="15" fillId="0" borderId="0" xfId="1" applyFont="1" applyFill="1" applyBorder="1" applyAlignment="1" applyProtection="1">
      <alignment horizontal="left" vertical="top"/>
    </xf>
    <xf numFmtId="0" fontId="14" fillId="0" borderId="0" xfId="1" applyFont="1" applyFill="1" applyBorder="1" applyAlignment="1" applyProtection="1">
      <alignment horizontal="left" vertical="top"/>
    </xf>
    <xf numFmtId="0" fontId="12" fillId="0" borderId="8" xfId="0" applyFont="1" applyBorder="1" applyAlignment="1" applyProtection="1">
      <alignment horizontal="left" vertical="center" indent="1"/>
      <protection locked="0"/>
    </xf>
    <xf numFmtId="164" fontId="12" fillId="0" borderId="9" xfId="0" applyNumberFormat="1" applyFont="1" applyBorder="1" applyAlignment="1" applyProtection="1">
      <alignment horizontal="left" vertical="center" indent="2"/>
      <protection locked="0"/>
    </xf>
    <xf numFmtId="0" fontId="3" fillId="0" borderId="8" xfId="1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quotePrefix="1" applyFont="1" applyAlignment="1" applyProtection="1">
      <alignment horizontal="center" vertical="center" wrapText="1"/>
      <protection locked="0"/>
    </xf>
    <xf numFmtId="16" fontId="21" fillId="0" borderId="0" xfId="0" quotePrefix="1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14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>
      <alignment horizontal="center" vertical="center"/>
    </xf>
    <xf numFmtId="0" fontId="35" fillId="0" borderId="16" xfId="0" applyFont="1" applyBorder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 wrapText="1"/>
      <protection locked="0"/>
    </xf>
    <xf numFmtId="165" fontId="4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 applyProtection="1">
      <alignment horizontal="center" vertical="center" wrapText="1"/>
      <protection locked="0"/>
    </xf>
    <xf numFmtId="1" fontId="50" fillId="0" borderId="14" xfId="0" applyNumberFormat="1" applyFont="1" applyBorder="1" applyAlignment="1" applyProtection="1">
      <alignment horizontal="center" vertical="center"/>
      <protection locked="0"/>
    </xf>
    <xf numFmtId="164" fontId="12" fillId="0" borderId="9" xfId="0" applyNumberFormat="1" applyFont="1" applyBorder="1" applyAlignment="1" applyProtection="1">
      <alignment horizontal="left" vertical="center"/>
      <protection locked="0"/>
    </xf>
    <xf numFmtId="1" fontId="24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>
      <alignment horizontal="center" vertical="center"/>
    </xf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52" fillId="3" borderId="6" xfId="0" applyFont="1" applyFill="1" applyBorder="1" applyAlignment="1">
      <alignment horizontal="center" vertical="center"/>
    </xf>
    <xf numFmtId="167" fontId="7" fillId="3" borderId="6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9" fillId="0" borderId="0" xfId="0" applyFont="1" applyAlignment="1" applyProtection="1">
      <alignment vertical="center" wrapText="1"/>
      <protection locked="0"/>
    </xf>
    <xf numFmtId="0" fontId="32" fillId="0" borderId="13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32" fillId="0" borderId="7" xfId="0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left" vertical="center"/>
      <protection locked="0"/>
    </xf>
    <xf numFmtId="0" fontId="14" fillId="0" borderId="0" xfId="0" applyFont="1"/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64" fontId="12" fillId="0" borderId="0" xfId="0" applyNumberFormat="1" applyFont="1" applyAlignment="1">
      <alignment horizontal="left" vertical="center" indent="2"/>
    </xf>
    <xf numFmtId="0" fontId="13" fillId="0" borderId="0" xfId="1" applyFont="1" applyFill="1" applyBorder="1" applyAlignment="1" applyProtection="1">
      <alignment horizontal="left" vertical="center" indent="1"/>
    </xf>
    <xf numFmtId="0" fontId="58" fillId="0" borderId="0" xfId="0" applyFont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5" borderId="35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0" fillId="5" borderId="41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5" xfId="0" applyFont="1" applyFill="1" applyBorder="1" applyAlignment="1">
      <alignment horizontal="center" vertical="center"/>
    </xf>
    <xf numFmtId="0" fontId="66" fillId="0" borderId="56" xfId="0" applyFont="1" applyBorder="1" applyAlignment="1" applyProtection="1">
      <alignment horizontal="center" vertical="center"/>
      <protection locked="0"/>
    </xf>
    <xf numFmtId="165" fontId="66" fillId="0" borderId="49" xfId="0" applyNumberFormat="1" applyFont="1" applyBorder="1" applyAlignment="1" applyProtection="1">
      <alignment horizontal="center" vertical="center"/>
      <protection locked="0"/>
    </xf>
    <xf numFmtId="0" fontId="66" fillId="0" borderId="57" xfId="0" applyFont="1" applyBorder="1" applyAlignment="1" applyProtection="1">
      <alignment horizontal="center" vertical="center"/>
      <protection locked="0"/>
    </xf>
    <xf numFmtId="1" fontId="59" fillId="0" borderId="39" xfId="0" applyNumberFormat="1" applyFont="1" applyBorder="1" applyAlignment="1" applyProtection="1">
      <alignment horizontal="center" vertical="center"/>
      <protection locked="0"/>
    </xf>
    <xf numFmtId="0" fontId="66" fillId="0" borderId="55" xfId="0" applyFont="1" applyBorder="1" applyAlignment="1" applyProtection="1">
      <alignment horizontal="center" vertical="center"/>
      <protection locked="0"/>
    </xf>
    <xf numFmtId="1" fontId="59" fillId="0" borderId="49" xfId="0" applyNumberFormat="1" applyFont="1" applyBorder="1" applyAlignment="1" applyProtection="1">
      <alignment horizontal="center" vertical="center"/>
      <protection locked="0"/>
    </xf>
    <xf numFmtId="1" fontId="68" fillId="5" borderId="49" xfId="0" applyNumberFormat="1" applyFont="1" applyFill="1" applyBorder="1" applyAlignment="1" applyProtection="1">
      <alignment horizontal="center" vertical="center"/>
      <protection locked="0"/>
    </xf>
    <xf numFmtId="168" fontId="69" fillId="0" borderId="30" xfId="0" applyNumberFormat="1" applyFont="1" applyBorder="1" applyAlignment="1">
      <alignment horizontal="center" vertical="center"/>
    </xf>
    <xf numFmtId="0" fontId="60" fillId="5" borderId="47" xfId="0" applyFont="1" applyFill="1" applyBorder="1" applyAlignment="1">
      <alignment horizontal="center" vertical="center"/>
    </xf>
    <xf numFmtId="0" fontId="66" fillId="0" borderId="48" xfId="0" applyFont="1" applyBorder="1" applyAlignment="1" applyProtection="1">
      <alignment horizontal="center" vertical="center"/>
      <protection locked="0"/>
    </xf>
    <xf numFmtId="165" fontId="66" fillId="0" borderId="50" xfId="0" applyNumberFormat="1" applyFont="1" applyBorder="1" applyAlignment="1" applyProtection="1">
      <alignment horizontal="center" vertical="center"/>
      <protection locked="0"/>
    </xf>
    <xf numFmtId="0" fontId="66" fillId="0" borderId="38" xfId="0" applyFont="1" applyBorder="1" applyAlignment="1" applyProtection="1">
      <alignment horizontal="center" vertical="center"/>
      <protection locked="0"/>
    </xf>
    <xf numFmtId="1" fontId="59" fillId="0" borderId="40" xfId="0" applyNumberFormat="1" applyFont="1" applyBorder="1" applyAlignment="1" applyProtection="1">
      <alignment horizontal="center" vertical="center"/>
      <protection locked="0"/>
    </xf>
    <xf numFmtId="0" fontId="66" fillId="0" borderId="47" xfId="0" applyFont="1" applyBorder="1" applyAlignment="1" applyProtection="1">
      <alignment horizontal="center" vertical="center"/>
      <protection locked="0"/>
    </xf>
    <xf numFmtId="1" fontId="59" fillId="0" borderId="50" xfId="0" applyNumberFormat="1" applyFont="1" applyBorder="1" applyAlignment="1" applyProtection="1">
      <alignment horizontal="center" vertical="center"/>
      <protection locked="0"/>
    </xf>
    <xf numFmtId="1" fontId="68" fillId="5" borderId="50" xfId="0" applyNumberFormat="1" applyFont="1" applyFill="1" applyBorder="1" applyAlignment="1" applyProtection="1">
      <alignment horizontal="center" vertical="center"/>
      <protection locked="0"/>
    </xf>
    <xf numFmtId="0" fontId="66" fillId="0" borderId="52" xfId="0" applyFont="1" applyBorder="1" applyAlignment="1" applyProtection="1">
      <alignment horizontal="center" vertical="center"/>
      <protection locked="0"/>
    </xf>
    <xf numFmtId="165" fontId="66" fillId="0" borderId="53" xfId="0" applyNumberFormat="1" applyFont="1" applyBorder="1" applyAlignment="1" applyProtection="1">
      <alignment horizontal="center" vertical="center"/>
      <protection locked="0"/>
    </xf>
    <xf numFmtId="0" fontId="66" fillId="0" borderId="41" xfId="0" applyFont="1" applyBorder="1" applyAlignment="1" applyProtection="1">
      <alignment horizontal="center" vertical="center"/>
      <protection locked="0"/>
    </xf>
    <xf numFmtId="1" fontId="59" fillId="0" borderId="43" xfId="0" applyNumberFormat="1" applyFont="1" applyBorder="1" applyAlignment="1" applyProtection="1">
      <alignment horizontal="center" vertical="center"/>
      <protection locked="0"/>
    </xf>
    <xf numFmtId="0" fontId="66" fillId="0" borderId="51" xfId="0" applyFont="1" applyBorder="1" applyAlignment="1" applyProtection="1">
      <alignment horizontal="center" vertical="center"/>
      <protection locked="0"/>
    </xf>
    <xf numFmtId="1" fontId="59" fillId="0" borderId="53" xfId="0" applyNumberFormat="1" applyFont="1" applyBorder="1" applyAlignment="1" applyProtection="1">
      <alignment horizontal="center" vertical="center"/>
      <protection locked="0"/>
    </xf>
    <xf numFmtId="1" fontId="68" fillId="5" borderId="53" xfId="0" applyNumberFormat="1" applyFont="1" applyFill="1" applyBorder="1" applyAlignment="1" applyProtection="1">
      <alignment horizontal="center" vertical="center"/>
      <protection locked="0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77" fillId="7" borderId="75" xfId="0" applyFont="1" applyFill="1" applyBorder="1" applyAlignment="1" applyProtection="1">
      <alignment horizontal="center" vertical="center"/>
      <protection locked="0"/>
    </xf>
    <xf numFmtId="0" fontId="77" fillId="7" borderId="76" xfId="0" applyFont="1" applyFill="1" applyBorder="1" applyAlignment="1" applyProtection="1">
      <alignment horizontal="center" vertical="center"/>
      <protection locked="0"/>
    </xf>
    <xf numFmtId="0" fontId="77" fillId="7" borderId="77" xfId="0" applyFont="1" applyFill="1" applyBorder="1" applyAlignment="1" applyProtection="1">
      <alignment horizontal="center" vertical="center"/>
      <protection locked="0"/>
    </xf>
    <xf numFmtId="0" fontId="77" fillId="7" borderId="78" xfId="0" applyFont="1" applyFill="1" applyBorder="1" applyAlignment="1" applyProtection="1">
      <alignment horizontal="center" vertical="center"/>
      <protection locked="0"/>
    </xf>
    <xf numFmtId="0" fontId="77" fillId="7" borderId="79" xfId="0" applyFont="1" applyFill="1" applyBorder="1" applyAlignment="1" applyProtection="1">
      <alignment horizontal="center" vertical="center"/>
      <protection locked="0"/>
    </xf>
    <xf numFmtId="0" fontId="77" fillId="7" borderId="80" xfId="0" applyFont="1" applyFill="1" applyBorder="1" applyAlignment="1" applyProtection="1">
      <alignment horizontal="center" vertical="center"/>
      <protection locked="0"/>
    </xf>
    <xf numFmtId="0" fontId="77" fillId="8" borderId="75" xfId="0" applyFont="1" applyFill="1" applyBorder="1" applyAlignment="1" applyProtection="1">
      <alignment horizontal="center" vertical="center"/>
      <protection locked="0"/>
    </xf>
    <xf numFmtId="0" fontId="77" fillId="8" borderId="76" xfId="0" applyFont="1" applyFill="1" applyBorder="1" applyAlignment="1" applyProtection="1">
      <alignment horizontal="center" vertical="center"/>
      <protection locked="0"/>
    </xf>
    <xf numFmtId="0" fontId="77" fillId="8" borderId="77" xfId="0" applyFont="1" applyFill="1" applyBorder="1" applyAlignment="1" applyProtection="1">
      <alignment horizontal="center" vertical="center"/>
      <protection locked="0"/>
    </xf>
    <xf numFmtId="0" fontId="77" fillId="8" borderId="78" xfId="0" applyFont="1" applyFill="1" applyBorder="1" applyAlignment="1" applyProtection="1">
      <alignment horizontal="center" vertical="center"/>
      <protection locked="0"/>
    </xf>
    <xf numFmtId="0" fontId="77" fillId="8" borderId="79" xfId="0" applyFont="1" applyFill="1" applyBorder="1" applyAlignment="1" applyProtection="1">
      <alignment horizontal="center" vertical="center"/>
      <protection locked="0"/>
    </xf>
    <xf numFmtId="0" fontId="77" fillId="8" borderId="80" xfId="0" applyFont="1" applyFill="1" applyBorder="1" applyAlignment="1" applyProtection="1">
      <alignment horizontal="center" vertical="center"/>
      <protection locked="0"/>
    </xf>
    <xf numFmtId="0" fontId="77" fillId="9" borderId="75" xfId="0" applyFont="1" applyFill="1" applyBorder="1" applyAlignment="1" applyProtection="1">
      <alignment horizontal="center" vertical="center"/>
      <protection locked="0"/>
    </xf>
    <xf numFmtId="0" fontId="77" fillId="9" borderId="76" xfId="0" applyFont="1" applyFill="1" applyBorder="1" applyAlignment="1" applyProtection="1">
      <alignment horizontal="center" vertical="center"/>
      <protection locked="0"/>
    </xf>
    <xf numFmtId="0" fontId="77" fillId="9" borderId="77" xfId="0" applyFont="1" applyFill="1" applyBorder="1" applyAlignment="1" applyProtection="1">
      <alignment horizontal="center" vertical="center"/>
      <protection locked="0"/>
    </xf>
    <xf numFmtId="0" fontId="77" fillId="9" borderId="78" xfId="0" applyFont="1" applyFill="1" applyBorder="1" applyAlignment="1" applyProtection="1">
      <alignment horizontal="center" vertical="center"/>
      <protection locked="0"/>
    </xf>
    <xf numFmtId="0" fontId="77" fillId="9" borderId="79" xfId="0" applyFont="1" applyFill="1" applyBorder="1" applyAlignment="1" applyProtection="1">
      <alignment horizontal="center" vertical="center"/>
      <protection locked="0"/>
    </xf>
    <xf numFmtId="0" fontId="77" fillId="9" borderId="80" xfId="0" applyFont="1" applyFill="1" applyBorder="1" applyAlignment="1" applyProtection="1">
      <alignment horizontal="center" vertical="center"/>
      <protection locked="0"/>
    </xf>
    <xf numFmtId="0" fontId="78" fillId="10" borderId="75" xfId="0" applyFont="1" applyFill="1" applyBorder="1" applyAlignment="1" applyProtection="1">
      <alignment horizontal="center" vertical="center"/>
      <protection locked="0"/>
    </xf>
    <xf numFmtId="0" fontId="78" fillId="10" borderId="76" xfId="0" applyFont="1" applyFill="1" applyBorder="1" applyAlignment="1" applyProtection="1">
      <alignment horizontal="center" vertical="center"/>
      <protection locked="0"/>
    </xf>
    <xf numFmtId="0" fontId="78" fillId="10" borderId="77" xfId="0" applyFont="1" applyFill="1" applyBorder="1" applyAlignment="1" applyProtection="1">
      <alignment horizontal="center" vertical="center"/>
      <protection locked="0"/>
    </xf>
    <xf numFmtId="0" fontId="78" fillId="10" borderId="78" xfId="0" applyFont="1" applyFill="1" applyBorder="1" applyAlignment="1" applyProtection="1">
      <alignment horizontal="center" vertical="center"/>
      <protection locked="0"/>
    </xf>
    <xf numFmtId="0" fontId="78" fillId="10" borderId="79" xfId="0" applyFont="1" applyFill="1" applyBorder="1" applyAlignment="1" applyProtection="1">
      <alignment horizontal="center" vertical="center"/>
      <protection locked="0"/>
    </xf>
    <xf numFmtId="0" fontId="78" fillId="10" borderId="80" xfId="0" applyFont="1" applyFill="1" applyBorder="1" applyAlignment="1" applyProtection="1">
      <alignment horizontal="center" vertical="center"/>
      <protection locked="0"/>
    </xf>
    <xf numFmtId="0" fontId="79" fillId="0" borderId="56" xfId="0" applyFont="1" applyBorder="1" applyAlignment="1">
      <alignment horizontal="center" vertical="center"/>
    </xf>
    <xf numFmtId="0" fontId="79" fillId="0" borderId="48" xfId="0" applyFont="1" applyBorder="1" applyAlignment="1">
      <alignment horizontal="center" vertical="center"/>
    </xf>
    <xf numFmtId="0" fontId="79" fillId="0" borderId="52" xfId="0" applyFont="1" applyBorder="1" applyAlignment="1">
      <alignment horizontal="center" vertical="center"/>
    </xf>
    <xf numFmtId="0" fontId="59" fillId="0" borderId="31" xfId="0" applyFont="1" applyBorder="1" applyAlignment="1" applyProtection="1">
      <alignment horizontal="center" vertical="center"/>
      <protection locked="0"/>
    </xf>
    <xf numFmtId="0" fontId="67" fillId="5" borderId="31" xfId="0" applyFont="1" applyFill="1" applyBorder="1" applyAlignment="1">
      <alignment horizontal="center" vertical="center"/>
    </xf>
    <xf numFmtId="0" fontId="59" fillId="0" borderId="30" xfId="0" applyFont="1" applyBorder="1" applyAlignment="1" applyProtection="1">
      <alignment horizontal="center" vertical="center"/>
      <protection locked="0"/>
    </xf>
    <xf numFmtId="0" fontId="67" fillId="5" borderId="30" xfId="0" applyFont="1" applyFill="1" applyBorder="1" applyAlignment="1">
      <alignment horizontal="center" vertical="center"/>
    </xf>
    <xf numFmtId="0" fontId="59" fillId="0" borderId="42" xfId="0" applyFont="1" applyBorder="1" applyAlignment="1" applyProtection="1">
      <alignment horizontal="center" vertical="center"/>
      <protection locked="0"/>
    </xf>
    <xf numFmtId="0" fontId="67" fillId="5" borderId="42" xfId="0" applyFont="1" applyFill="1" applyBorder="1" applyAlignment="1">
      <alignment horizontal="center" vertical="center"/>
    </xf>
    <xf numFmtId="0" fontId="59" fillId="0" borderId="56" xfId="0" applyFont="1" applyBorder="1" applyAlignment="1" applyProtection="1">
      <alignment horizontal="center" vertical="center"/>
      <protection locked="0"/>
    </xf>
    <xf numFmtId="0" fontId="67" fillId="5" borderId="56" xfId="0" applyFont="1" applyFill="1" applyBorder="1" applyAlignment="1">
      <alignment horizontal="center" vertical="center"/>
    </xf>
    <xf numFmtId="0" fontId="59" fillId="0" borderId="48" xfId="0" applyFont="1" applyBorder="1" applyAlignment="1" applyProtection="1">
      <alignment horizontal="center" vertical="center"/>
      <protection locked="0"/>
    </xf>
    <xf numFmtId="0" fontId="67" fillId="5" borderId="48" xfId="0" applyFont="1" applyFill="1" applyBorder="1" applyAlignment="1">
      <alignment horizontal="center" vertical="center"/>
    </xf>
    <xf numFmtId="0" fontId="59" fillId="0" borderId="52" xfId="0" applyFont="1" applyBorder="1" applyAlignment="1" applyProtection="1">
      <alignment horizontal="center" vertical="center"/>
      <protection locked="0"/>
    </xf>
    <xf numFmtId="0" fontId="67" fillId="5" borderId="52" xfId="0" applyFont="1" applyFill="1" applyBorder="1" applyAlignment="1">
      <alignment horizontal="center" vertical="center"/>
    </xf>
    <xf numFmtId="0" fontId="67" fillId="5" borderId="55" xfId="0" applyFont="1" applyFill="1" applyBorder="1" applyAlignment="1">
      <alignment horizontal="center" vertical="center"/>
    </xf>
    <xf numFmtId="0" fontId="67" fillId="5" borderId="47" xfId="0" applyFont="1" applyFill="1" applyBorder="1" applyAlignment="1">
      <alignment horizontal="center" vertical="center"/>
    </xf>
    <xf numFmtId="0" fontId="67" fillId="5" borderId="51" xfId="0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67" fillId="5" borderId="65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66" fillId="0" borderId="65" xfId="0" applyFont="1" applyBorder="1" applyAlignment="1">
      <alignment horizontal="center" vertical="center"/>
    </xf>
    <xf numFmtId="0" fontId="66" fillId="0" borderId="6" xfId="0" applyFont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59" fillId="0" borderId="66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0" fillId="4" borderId="65" xfId="0" applyFont="1" applyFill="1" applyBorder="1" applyAlignment="1">
      <alignment horizontal="center" vertical="center"/>
    </xf>
    <xf numFmtId="0" fontId="59" fillId="4" borderId="65" xfId="0" applyFont="1" applyFill="1" applyBorder="1" applyAlignment="1">
      <alignment horizontal="center" vertical="center"/>
    </xf>
    <xf numFmtId="0" fontId="70" fillId="4" borderId="67" xfId="0" applyFont="1" applyFill="1" applyBorder="1" applyAlignment="1">
      <alignment horizontal="center" vertical="center"/>
    </xf>
    <xf numFmtId="0" fontId="66" fillId="2" borderId="68" xfId="0" applyFont="1" applyFill="1" applyBorder="1" applyAlignment="1">
      <alignment horizontal="center" vertical="center"/>
    </xf>
    <xf numFmtId="0" fontId="66" fillId="2" borderId="69" xfId="0" applyFont="1" applyFill="1" applyBorder="1" applyAlignment="1">
      <alignment horizontal="center" vertical="center"/>
    </xf>
    <xf numFmtId="0" fontId="66" fillId="0" borderId="67" xfId="0" applyFont="1" applyBorder="1" applyAlignment="1">
      <alignment horizontal="center" vertical="center"/>
    </xf>
    <xf numFmtId="0" fontId="66" fillId="0" borderId="68" xfId="0" applyFont="1" applyBorder="1" applyAlignment="1">
      <alignment horizontal="center" vertical="center"/>
    </xf>
    <xf numFmtId="0" fontId="59" fillId="2" borderId="68" xfId="0" applyFont="1" applyFill="1" applyBorder="1" applyAlignment="1">
      <alignment horizontal="center" vertical="center"/>
    </xf>
    <xf numFmtId="0" fontId="59" fillId="0" borderId="69" xfId="0" applyFont="1" applyBorder="1" applyAlignment="1">
      <alignment horizontal="center" vertical="center"/>
    </xf>
    <xf numFmtId="0" fontId="59" fillId="4" borderId="67" xfId="0" applyFont="1" applyFill="1" applyBorder="1" applyAlignment="1">
      <alignment horizontal="center" vertical="center"/>
    </xf>
    <xf numFmtId="0" fontId="74" fillId="0" borderId="69" xfId="0" applyFont="1" applyBorder="1" applyAlignment="1">
      <alignment horizontal="center" vertical="center"/>
    </xf>
    <xf numFmtId="0" fontId="7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9" fillId="2" borderId="24" xfId="0" applyFont="1" applyFill="1" applyBorder="1" applyAlignment="1">
      <alignment horizontal="center" vertical="center"/>
    </xf>
    <xf numFmtId="0" fontId="29" fillId="2" borderId="25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169" fontId="19" fillId="0" borderId="0" xfId="0" applyNumberFormat="1" applyFont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70" fillId="0" borderId="0" xfId="0" applyFont="1" applyAlignment="1" applyProtection="1">
      <alignment horizontal="center" vertical="center"/>
      <protection locked="0"/>
    </xf>
    <xf numFmtId="0" fontId="66" fillId="0" borderId="0" xfId="0" applyFont="1" applyAlignment="1" applyProtection="1">
      <alignment horizontal="center" vertical="center"/>
      <protection locked="0"/>
    </xf>
    <xf numFmtId="0" fontId="59" fillId="0" borderId="0" xfId="0" applyFont="1" applyAlignment="1" applyProtection="1">
      <alignment horizontal="center" vertical="center"/>
      <protection locked="0"/>
    </xf>
    <xf numFmtId="0" fontId="74" fillId="0" borderId="0" xfId="0" applyFont="1" applyAlignment="1" applyProtection="1">
      <alignment horizontal="center" vertical="center"/>
      <protection locked="0"/>
    </xf>
    <xf numFmtId="0" fontId="56" fillId="6" borderId="0" xfId="0" applyFont="1" applyFill="1" applyAlignment="1">
      <alignment horizontal="center" vertical="center" wrapText="1"/>
    </xf>
    <xf numFmtId="0" fontId="56" fillId="6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top" indent="5"/>
    </xf>
    <xf numFmtId="0" fontId="27" fillId="6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indent="5"/>
    </xf>
    <xf numFmtId="0" fontId="3" fillId="0" borderId="0" xfId="1" applyFill="1" applyBorder="1" applyAlignment="1" applyProtection="1">
      <alignment horizontal="left" vertical="center" indent="5"/>
    </xf>
    <xf numFmtId="0" fontId="70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74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 wrapText="1"/>
    </xf>
    <xf numFmtId="0" fontId="61" fillId="5" borderId="54" xfId="0" applyFont="1" applyFill="1" applyBorder="1" applyAlignment="1">
      <alignment horizontal="center" vertical="center"/>
    </xf>
    <xf numFmtId="0" fontId="61" fillId="5" borderId="53" xfId="0" applyFont="1" applyFill="1" applyBorder="1" applyAlignment="1">
      <alignment horizontal="center" vertical="center"/>
    </xf>
    <xf numFmtId="0" fontId="60" fillId="5" borderId="46" xfId="0" applyFont="1" applyFill="1" applyBorder="1" applyAlignment="1">
      <alignment horizontal="center" vertical="center" wrapText="1"/>
    </xf>
    <xf numFmtId="0" fontId="60" fillId="5" borderId="59" xfId="0" applyFont="1" applyFill="1" applyBorder="1" applyAlignment="1">
      <alignment horizontal="center" vertical="center" wrapText="1"/>
    </xf>
    <xf numFmtId="0" fontId="60" fillId="5" borderId="46" xfId="0" applyFont="1" applyFill="1" applyBorder="1" applyAlignment="1">
      <alignment horizontal="center" vertical="center"/>
    </xf>
    <xf numFmtId="0" fontId="60" fillId="5" borderId="59" xfId="0" applyFont="1" applyFill="1" applyBorder="1" applyAlignment="1">
      <alignment horizontal="center" vertical="center"/>
    </xf>
    <xf numFmtId="0" fontId="60" fillId="5" borderId="44" xfId="0" applyFont="1" applyFill="1" applyBorder="1" applyAlignment="1">
      <alignment horizontal="center" vertical="center" wrapText="1"/>
    </xf>
    <xf numFmtId="0" fontId="60" fillId="5" borderId="51" xfId="0" applyFont="1" applyFill="1" applyBorder="1" applyAlignment="1">
      <alignment horizontal="center" vertical="center" wrapText="1"/>
    </xf>
    <xf numFmtId="0" fontId="60" fillId="5" borderId="45" xfId="0" applyFont="1" applyFill="1" applyBorder="1" applyAlignment="1">
      <alignment horizontal="center" vertical="center"/>
    </xf>
    <xf numFmtId="0" fontId="60" fillId="5" borderId="52" xfId="0" applyFont="1" applyFill="1" applyBorder="1" applyAlignment="1">
      <alignment horizontal="center" vertical="center"/>
    </xf>
    <xf numFmtId="0" fontId="60" fillId="5" borderId="54" xfId="0" applyFont="1" applyFill="1" applyBorder="1" applyAlignment="1">
      <alignment horizontal="center" vertical="center"/>
    </xf>
    <xf numFmtId="0" fontId="60" fillId="5" borderId="53" xfId="0" applyFont="1" applyFill="1" applyBorder="1" applyAlignment="1">
      <alignment horizontal="center" vertical="center"/>
    </xf>
    <xf numFmtId="0" fontId="60" fillId="5" borderId="36" xfId="0" applyFont="1" applyFill="1" applyBorder="1" applyAlignment="1">
      <alignment horizontal="center" vertical="center"/>
    </xf>
    <xf numFmtId="0" fontId="60" fillId="5" borderId="42" xfId="0" applyFont="1" applyFill="1" applyBorder="1" applyAlignment="1">
      <alignment horizontal="center" vertical="center"/>
    </xf>
    <xf numFmtId="0" fontId="60" fillId="5" borderId="45" xfId="0" applyFont="1" applyFill="1" applyBorder="1" applyAlignment="1">
      <alignment horizontal="center" vertical="center" wrapText="1"/>
    </xf>
    <xf numFmtId="0" fontId="60" fillId="5" borderId="44" xfId="0" applyFont="1" applyFill="1" applyBorder="1" applyAlignment="1">
      <alignment horizontal="center" vertical="center"/>
    </xf>
    <xf numFmtId="0" fontId="60" fillId="5" borderId="51" xfId="0" applyFont="1" applyFill="1" applyBorder="1" applyAlignment="1">
      <alignment horizontal="center" vertical="center"/>
    </xf>
    <xf numFmtId="0" fontId="60" fillId="5" borderId="37" xfId="0" applyFont="1" applyFill="1" applyBorder="1" applyAlignment="1">
      <alignment horizontal="center" vertical="center"/>
    </xf>
    <xf numFmtId="0" fontId="60" fillId="5" borderId="58" xfId="0" applyFont="1" applyFill="1" applyBorder="1" applyAlignment="1">
      <alignment horizontal="center" vertical="center"/>
    </xf>
    <xf numFmtId="0" fontId="66" fillId="0" borderId="70" xfId="0" applyFont="1" applyBorder="1" applyAlignment="1">
      <alignment horizontal="center" vertical="center"/>
    </xf>
    <xf numFmtId="0" fontId="66" fillId="0" borderId="72" xfId="0" applyFont="1" applyBorder="1" applyAlignment="1">
      <alignment horizontal="center" vertical="center"/>
    </xf>
    <xf numFmtId="0" fontId="59" fillId="0" borderId="71" xfId="0" applyFont="1" applyBorder="1" applyAlignment="1">
      <alignment horizontal="center" vertical="center"/>
    </xf>
    <xf numFmtId="0" fontId="59" fillId="0" borderId="73" xfId="0" applyFont="1" applyBorder="1" applyAlignment="1">
      <alignment horizontal="center" vertical="center"/>
    </xf>
    <xf numFmtId="0" fontId="66" fillId="0" borderId="62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6" fillId="0" borderId="63" xfId="0" applyFont="1" applyBorder="1" applyAlignment="1">
      <alignment horizontal="center" vertical="center"/>
    </xf>
    <xf numFmtId="0" fontId="66" fillId="0" borderId="4" xfId="0" applyFont="1" applyBorder="1" applyAlignment="1">
      <alignment horizontal="center" vertical="center"/>
    </xf>
    <xf numFmtId="0" fontId="66" fillId="0" borderId="9" xfId="0" applyFont="1" applyBorder="1" applyAlignment="1">
      <alignment horizontal="center" vertical="center"/>
    </xf>
    <xf numFmtId="0" fontId="66" fillId="0" borderId="3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67" fillId="5" borderId="60" xfId="0" applyFont="1" applyFill="1" applyBorder="1" applyAlignment="1">
      <alignment horizontal="center" vertical="center" wrapText="1"/>
    </xf>
    <xf numFmtId="0" fontId="67" fillId="5" borderId="65" xfId="0" applyFont="1" applyFill="1" applyBorder="1" applyAlignment="1">
      <alignment horizontal="center" vertical="center" wrapText="1"/>
    </xf>
    <xf numFmtId="0" fontId="59" fillId="2" borderId="61" xfId="0" applyFont="1" applyFill="1" applyBorder="1" applyAlignment="1">
      <alignment horizontal="center" vertical="center"/>
    </xf>
    <xf numFmtId="0" fontId="59" fillId="2" borderId="6" xfId="0" applyFont="1" applyFill="1" applyBorder="1" applyAlignment="1">
      <alignment horizontal="center" vertical="center"/>
    </xf>
    <xf numFmtId="0" fontId="74" fillId="0" borderId="64" xfId="0" applyFont="1" applyBorder="1" applyAlignment="1">
      <alignment horizontal="center" vertical="center"/>
    </xf>
    <xf numFmtId="0" fontId="74" fillId="0" borderId="66" xfId="0" applyFont="1" applyBorder="1" applyAlignment="1">
      <alignment horizontal="center" vertical="center"/>
    </xf>
    <xf numFmtId="0" fontId="66" fillId="2" borderId="61" xfId="0" applyFont="1" applyFill="1" applyBorder="1" applyAlignment="1">
      <alignment horizontal="center" vertical="center"/>
    </xf>
    <xf numFmtId="0" fontId="66" fillId="2" borderId="6" xfId="0" applyFont="1" applyFill="1" applyBorder="1" applyAlignment="1">
      <alignment horizontal="center" vertical="center"/>
    </xf>
    <xf numFmtId="0" fontId="66" fillId="2" borderId="64" xfId="0" applyFont="1" applyFill="1" applyBorder="1" applyAlignment="1">
      <alignment horizontal="center" vertical="center"/>
    </xf>
    <xf numFmtId="0" fontId="66" fillId="2" borderId="6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2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54" fillId="8" borderId="21" xfId="0" applyFont="1" applyFill="1" applyBorder="1" applyAlignment="1">
      <alignment horizontal="center" vertical="center"/>
    </xf>
    <xf numFmtId="0" fontId="54" fillId="8" borderId="0" xfId="0" applyFont="1" applyFill="1" applyAlignment="1">
      <alignment horizontal="center" vertical="center"/>
    </xf>
    <xf numFmtId="0" fontId="54" fillId="8" borderId="12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9" fillId="10" borderId="26" xfId="0" applyFont="1" applyFill="1" applyBorder="1" applyAlignment="1">
      <alignment horizontal="center" vertical="center"/>
    </xf>
    <xf numFmtId="0" fontId="54" fillId="9" borderId="21" xfId="0" applyFont="1" applyFill="1" applyBorder="1" applyAlignment="1">
      <alignment horizontal="center" vertical="center"/>
    </xf>
    <xf numFmtId="0" fontId="54" fillId="9" borderId="0" xfId="0" applyFont="1" applyFill="1" applyAlignment="1">
      <alignment horizontal="center" vertical="center"/>
    </xf>
    <xf numFmtId="0" fontId="54" fillId="9" borderId="12" xfId="0" applyFont="1" applyFill="1" applyBorder="1" applyAlignment="1">
      <alignment horizontal="center" vertical="center"/>
    </xf>
    <xf numFmtId="0" fontId="29" fillId="10" borderId="21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54" fillId="7" borderId="21" xfId="0" applyFont="1" applyFill="1" applyBorder="1" applyAlignment="1">
      <alignment horizontal="center" vertical="center"/>
    </xf>
    <xf numFmtId="0" fontId="54" fillId="7" borderId="0" xfId="0" applyFont="1" applyFill="1" applyAlignment="1">
      <alignment horizontal="center" vertical="center"/>
    </xf>
    <xf numFmtId="0" fontId="54" fillId="7" borderId="12" xfId="0" applyFont="1" applyFill="1" applyBorder="1" applyAlignment="1">
      <alignment horizontal="center" vertical="center"/>
    </xf>
    <xf numFmtId="0" fontId="53" fillId="7" borderId="24" xfId="0" applyFont="1" applyFill="1" applyBorder="1" applyAlignment="1">
      <alignment horizontal="center" vertical="center"/>
    </xf>
    <xf numFmtId="0" fontId="53" fillId="7" borderId="25" xfId="0" applyFont="1" applyFill="1" applyBorder="1" applyAlignment="1">
      <alignment horizontal="center" vertical="center"/>
    </xf>
    <xf numFmtId="0" fontId="53" fillId="7" borderId="26" xfId="0" applyFont="1" applyFill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53" fillId="9" borderId="24" xfId="0" applyFont="1" applyFill="1" applyBorder="1" applyAlignment="1">
      <alignment horizontal="center" vertical="center"/>
    </xf>
    <xf numFmtId="0" fontId="53" fillId="9" borderId="25" xfId="0" applyFont="1" applyFill="1" applyBorder="1" applyAlignment="1">
      <alignment horizontal="center" vertical="center"/>
    </xf>
    <xf numFmtId="0" fontId="53" fillId="9" borderId="26" xfId="0" applyFont="1" applyFill="1" applyBorder="1" applyAlignment="1">
      <alignment horizontal="center" vertical="center"/>
    </xf>
    <xf numFmtId="0" fontId="53" fillId="8" borderId="24" xfId="0" applyFont="1" applyFill="1" applyBorder="1" applyAlignment="1">
      <alignment horizontal="center" vertical="center"/>
    </xf>
    <xf numFmtId="0" fontId="53" fillId="8" borderId="25" xfId="0" applyFont="1" applyFill="1" applyBorder="1" applyAlignment="1">
      <alignment horizontal="center" vertical="center"/>
    </xf>
    <xf numFmtId="0" fontId="53" fillId="8" borderId="26" xfId="0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45" fillId="0" borderId="28" xfId="0" applyFont="1" applyBorder="1" applyAlignment="1">
      <alignment horizontal="center" vertical="center"/>
    </xf>
    <xf numFmtId="0" fontId="48" fillId="0" borderId="0" xfId="0" applyFont="1" applyAlignment="1" applyProtection="1">
      <alignment horizontal="center" vertical="center" wrapText="1"/>
      <protection locked="0"/>
    </xf>
    <xf numFmtId="0" fontId="35" fillId="0" borderId="14" xfId="0" applyFont="1" applyBorder="1" applyAlignment="1" applyProtection="1">
      <alignment horizontal="center" vertical="center" textRotation="90" wrapText="1"/>
      <protection locked="0"/>
    </xf>
    <xf numFmtId="0" fontId="36" fillId="0" borderId="14" xfId="0" applyFont="1" applyBorder="1" applyAlignment="1" applyProtection="1">
      <alignment horizontal="center" vertical="center" textRotation="90" wrapText="1"/>
      <protection locked="0"/>
    </xf>
    <xf numFmtId="0" fontId="37" fillId="0" borderId="14" xfId="0" applyFont="1" applyBorder="1" applyAlignment="1" applyProtection="1">
      <alignment horizontal="center" vertical="center" textRotation="90" wrapText="1"/>
      <protection locked="0"/>
    </xf>
    <xf numFmtId="0" fontId="40" fillId="0" borderId="0" xfId="0" applyFont="1" applyAlignment="1">
      <alignment horizontal="center" vertical="center"/>
    </xf>
  </cellXfs>
  <cellStyles count="51">
    <cellStyle name="Lien hypertexte" xfId="1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Lien hypertexte visité" xfId="8" builtinId="9" hidden="1"/>
    <cellStyle name="Lien hypertexte visité" xfId="9" builtinId="9" hidden="1"/>
    <cellStyle name="Lien hypertexte visité" xfId="10" builtinId="9" hidden="1"/>
    <cellStyle name="Lien hypertexte visité" xfId="11" builtinId="9" hidden="1"/>
    <cellStyle name="Lien hypertexte visité" xfId="12" builtinId="9" hidden="1"/>
    <cellStyle name="Lien hypertexte visité" xfId="13" builtinId="9" hidden="1"/>
    <cellStyle name="Lien hypertexte visité" xfId="14" builtinId="9" hidden="1"/>
    <cellStyle name="Lien hypertexte visité" xfId="15" builtinId="9" hidden="1"/>
    <cellStyle name="Lien hypertexte visité" xfId="16" builtinId="9" hidden="1"/>
    <cellStyle name="Lien hypertexte visité" xfId="17" builtinId="9" hidden="1"/>
    <cellStyle name="Lien hypertexte visité" xfId="18" builtinId="9" hidden="1"/>
    <cellStyle name="Lien hypertexte visité" xfId="19" builtinId="9" hidden="1"/>
    <cellStyle name="Lien hypertexte visité" xfId="20" builtinId="9" hidden="1"/>
    <cellStyle name="Lien hypertexte visité" xfId="21" builtinId="9" hidden="1"/>
    <cellStyle name="Lien hypertexte visité" xfId="22" builtinId="9" hidden="1"/>
    <cellStyle name="Lien hypertexte visité" xfId="23" builtinId="9" hidden="1"/>
    <cellStyle name="Lien hypertexte visité" xfId="24" builtinId="9" hidden="1"/>
    <cellStyle name="Lien hypertexte visité" xfId="25" builtinId="9" hidden="1"/>
    <cellStyle name="Lien hypertexte visité" xfId="26" builtinId="9" hidden="1"/>
    <cellStyle name="Lien hypertexte visité" xfId="27" builtinId="9" hidden="1"/>
    <cellStyle name="Lien hypertexte visité" xfId="28" builtinId="9" hidden="1"/>
    <cellStyle name="Lien hypertexte visité" xfId="29" builtinId="9" hidden="1"/>
    <cellStyle name="Lien hypertexte visité" xfId="30" builtinId="9" hidden="1"/>
    <cellStyle name="Lien hypertexte visité" xfId="31" builtinId="9" hidden="1"/>
    <cellStyle name="Lien hypertexte visité" xfId="32" builtinId="9" hidden="1"/>
    <cellStyle name="Lien hypertexte visité" xfId="33" builtinId="9" hidden="1"/>
    <cellStyle name="Lien hypertexte visité" xfId="34" builtinId="9" hidden="1"/>
    <cellStyle name="Lien hypertexte visité" xfId="35" builtinId="9" hidden="1"/>
    <cellStyle name="Lien hypertexte visité" xfId="36" builtinId="9" hidden="1"/>
    <cellStyle name="Lien hypertexte visité" xfId="37" builtinId="9" hidden="1"/>
    <cellStyle name="Lien hypertexte visité" xfId="38" builtinId="9" hidden="1"/>
    <cellStyle name="Lien hypertexte visité" xfId="39" builtinId="9" hidden="1"/>
    <cellStyle name="Lien hypertexte visité" xfId="40" builtinId="9" hidden="1"/>
    <cellStyle name="Lien hypertexte visité" xfId="41" builtinId="9" hidden="1"/>
    <cellStyle name="Lien hypertexte visité" xfId="42" builtinId="9" hidden="1"/>
    <cellStyle name="Lien hypertexte visité" xfId="43" builtinId="9" hidden="1"/>
    <cellStyle name="Lien hypertexte visité" xfId="44" builtinId="9" hidden="1"/>
    <cellStyle name="Lien hypertexte visité" xfId="45" builtinId="9" hidden="1"/>
    <cellStyle name="Lien hypertexte visité" xfId="46" builtinId="9" hidden="1"/>
    <cellStyle name="Lien hypertexte visité" xfId="47" builtinId="9" hidden="1"/>
    <cellStyle name="Lien hypertexte visité" xfId="48" builtinId="9" hidden="1"/>
    <cellStyle name="Lien hypertexte visité" xfId="49" builtinId="9" hidden="1"/>
    <cellStyle name="Lien hypertexte visité" xfId="50" builtinId="9" hidden="1"/>
    <cellStyle name="Normal" xfId="0" builtinId="0"/>
    <cellStyle name="Normal_CdFC carabine 10m Adultes 8+" xfId="2" xr:uid="{00000000-0005-0000-0000-000032000000}"/>
  </cellStyles>
  <dxfs count="27"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auto="1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Dot">
          <color indexed="64"/>
        </left>
        <bottom style="dashDotDot">
          <color indexed="64"/>
        </bottom>
      </border>
    </dxf>
    <dxf>
      <font>
        <b/>
        <i val="0"/>
        <strike val="0"/>
        <color auto="1"/>
      </font>
      <fill>
        <patternFill patternType="solid">
          <fgColor indexed="64"/>
          <bgColor rgb="FFF4D900"/>
        </patternFill>
      </fill>
    </dxf>
    <dxf>
      <font>
        <b/>
        <i val="0"/>
        <strike val="0"/>
        <color theme="0"/>
      </font>
      <fill>
        <patternFill patternType="solid">
          <fgColor indexed="64"/>
          <bgColor theme="9" tint="-0.499984740745262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right style="dashDotDot">
          <color indexed="64"/>
        </right>
        <bottom style="dashDotDot">
          <color indexed="64"/>
        </bottom>
      </border>
    </dxf>
    <dxf>
      <font>
        <condense val="0"/>
        <extend val="0"/>
        <color indexed="13"/>
      </font>
    </dxf>
    <dxf>
      <font>
        <condense val="0"/>
        <extend val="0"/>
        <color indexed="55"/>
      </font>
    </dxf>
    <dxf>
      <font>
        <condense val="0"/>
        <extend val="0"/>
        <color indexed="52"/>
      </font>
    </dxf>
    <dxf>
      <font>
        <color theme="0"/>
      </font>
      <fill>
        <patternFill patternType="solid">
          <fgColor indexed="64"/>
          <bgColor theme="5" tint="-0.499984740745262"/>
        </patternFill>
      </fill>
    </dxf>
    <dxf>
      <font>
        <color theme="0"/>
      </font>
      <fill>
        <patternFill patternType="solid">
          <fgColor indexed="64"/>
          <bgColor theme="3" tint="-0.249977111117893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ndense val="0"/>
        <extend val="0"/>
        <color indexed="9"/>
      </font>
    </dxf>
    <dxf>
      <font>
        <b/>
        <i val="0"/>
        <condense val="0"/>
        <extend val="0"/>
      </font>
      <border>
        <left style="dashDot">
          <color indexed="64"/>
        </left>
        <bottom style="dashDot">
          <color indexed="64"/>
        </bottom>
      </border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solid">
          <fgColor indexed="64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>
          <fgColor indexed="64"/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2794000</xdr:colOff>
      <xdr:row>3</xdr:row>
      <xdr:rowOff>1041400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65600" cy="2616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31</xdr:col>
      <xdr:colOff>831088</xdr:colOff>
      <xdr:row>2</xdr:row>
      <xdr:rowOff>0</xdr:rowOff>
    </xdr:from>
    <xdr:to>
      <xdr:col>33</xdr:col>
      <xdr:colOff>1752600</xdr:colOff>
      <xdr:row>3</xdr:row>
      <xdr:rowOff>914400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44588" y="2413000"/>
          <a:ext cx="2451100" cy="2501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33</xdr:row>
      <xdr:rowOff>381000</xdr:rowOff>
    </xdr:from>
    <xdr:to>
      <xdr:col>8</xdr:col>
      <xdr:colOff>25400</xdr:colOff>
      <xdr:row>33</xdr:row>
      <xdr:rowOff>381000</xdr:rowOff>
    </xdr:to>
    <xdr:sp macro="" textlink="">
      <xdr:nvSpPr>
        <xdr:cNvPr id="47491" name="Line 9">
          <a:extLst>
            <a:ext uri="{FF2B5EF4-FFF2-40B4-BE49-F238E27FC236}">
              <a16:creationId xmlns:a16="http://schemas.microsoft.com/office/drawing/2014/main" id="{00000000-0008-0000-0500-000083B90000}"/>
            </a:ext>
          </a:extLst>
        </xdr:cNvPr>
        <xdr:cNvSpPr>
          <a:spLocks noChangeShapeType="1"/>
        </xdr:cNvSpPr>
      </xdr:nvSpPr>
      <xdr:spPr bwMode="auto">
        <a:xfrm flipH="1">
          <a:off x="914400" y="10617200"/>
          <a:ext cx="48768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14</xdr:col>
      <xdr:colOff>0</xdr:colOff>
      <xdr:row>33</xdr:row>
      <xdr:rowOff>381000</xdr:rowOff>
    </xdr:from>
    <xdr:to>
      <xdr:col>20</xdr:col>
      <xdr:colOff>571500</xdr:colOff>
      <xdr:row>33</xdr:row>
      <xdr:rowOff>381000</xdr:rowOff>
    </xdr:to>
    <xdr:sp macro="" textlink="">
      <xdr:nvSpPr>
        <xdr:cNvPr id="47492" name="Line 10">
          <a:extLst>
            <a:ext uri="{FF2B5EF4-FFF2-40B4-BE49-F238E27FC236}">
              <a16:creationId xmlns:a16="http://schemas.microsoft.com/office/drawing/2014/main" id="{00000000-0008-0000-0500-000084B90000}"/>
            </a:ext>
          </a:extLst>
        </xdr:cNvPr>
        <xdr:cNvSpPr>
          <a:spLocks noChangeShapeType="1"/>
        </xdr:cNvSpPr>
      </xdr:nvSpPr>
      <xdr:spPr bwMode="auto">
        <a:xfrm>
          <a:off x="10312400" y="10617200"/>
          <a:ext cx="4889500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13</xdr:col>
      <xdr:colOff>698500</xdr:colOff>
      <xdr:row>49</xdr:row>
      <xdr:rowOff>370304</xdr:rowOff>
    </xdr:from>
    <xdr:to>
      <xdr:col>20</xdr:col>
      <xdr:colOff>508000</xdr:colOff>
      <xdr:row>49</xdr:row>
      <xdr:rowOff>370304</xdr:rowOff>
    </xdr:to>
    <xdr:sp macro="" textlink="">
      <xdr:nvSpPr>
        <xdr:cNvPr id="47493" name="Line 11">
          <a:extLst>
            <a:ext uri="{FF2B5EF4-FFF2-40B4-BE49-F238E27FC236}">
              <a16:creationId xmlns:a16="http://schemas.microsoft.com/office/drawing/2014/main" id="{00000000-0008-0000-0500-000085B90000}"/>
            </a:ext>
          </a:extLst>
        </xdr:cNvPr>
        <xdr:cNvSpPr>
          <a:spLocks noChangeShapeType="1"/>
        </xdr:cNvSpPr>
      </xdr:nvSpPr>
      <xdr:spPr bwMode="auto">
        <a:xfrm>
          <a:off x="10283658" y="14968620"/>
          <a:ext cx="4849395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254000</xdr:colOff>
      <xdr:row>49</xdr:row>
      <xdr:rowOff>344904</xdr:rowOff>
    </xdr:from>
    <xdr:to>
      <xdr:col>8</xdr:col>
      <xdr:colOff>25400</xdr:colOff>
      <xdr:row>49</xdr:row>
      <xdr:rowOff>344904</xdr:rowOff>
    </xdr:to>
    <xdr:sp macro="" textlink="">
      <xdr:nvSpPr>
        <xdr:cNvPr id="47494" name="Line 13">
          <a:extLst>
            <a:ext uri="{FF2B5EF4-FFF2-40B4-BE49-F238E27FC236}">
              <a16:creationId xmlns:a16="http://schemas.microsoft.com/office/drawing/2014/main" id="{00000000-0008-0000-0500-000086B90000}"/>
            </a:ext>
          </a:extLst>
        </xdr:cNvPr>
        <xdr:cNvSpPr>
          <a:spLocks noChangeShapeType="1"/>
        </xdr:cNvSpPr>
      </xdr:nvSpPr>
      <xdr:spPr bwMode="auto">
        <a:xfrm flipH="1">
          <a:off x="975895" y="14943220"/>
          <a:ext cx="4811294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</xdr:col>
      <xdr:colOff>101599</xdr:colOff>
      <xdr:row>63</xdr:row>
      <xdr:rowOff>346239</xdr:rowOff>
    </xdr:from>
    <xdr:to>
      <xdr:col>9</xdr:col>
      <xdr:colOff>173789</xdr:colOff>
      <xdr:row>63</xdr:row>
      <xdr:rowOff>347578</xdr:rowOff>
    </xdr:to>
    <xdr:sp macro="" textlink="">
      <xdr:nvSpPr>
        <xdr:cNvPr id="47495" name="Line 14">
          <a:extLst>
            <a:ext uri="{FF2B5EF4-FFF2-40B4-BE49-F238E27FC236}">
              <a16:creationId xmlns:a16="http://schemas.microsoft.com/office/drawing/2014/main" id="{00000000-0008-0000-0500-000087B90000}"/>
            </a:ext>
          </a:extLst>
        </xdr:cNvPr>
        <xdr:cNvSpPr>
          <a:spLocks noChangeShapeType="1"/>
        </xdr:cNvSpPr>
      </xdr:nvSpPr>
      <xdr:spPr bwMode="auto">
        <a:xfrm flipH="1" flipV="1">
          <a:off x="823494" y="18634239"/>
          <a:ext cx="5833979" cy="133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>
    <xdr:from>
      <xdr:col>12</xdr:col>
      <xdr:colOff>882316</xdr:colOff>
      <xdr:row>63</xdr:row>
      <xdr:rowOff>334211</xdr:rowOff>
    </xdr:from>
    <xdr:to>
      <xdr:col>20</xdr:col>
      <xdr:colOff>698500</xdr:colOff>
      <xdr:row>63</xdr:row>
      <xdr:rowOff>346240</xdr:rowOff>
    </xdr:to>
    <xdr:sp macro="" textlink="">
      <xdr:nvSpPr>
        <xdr:cNvPr id="47496" name="Line 15">
          <a:extLst>
            <a:ext uri="{FF2B5EF4-FFF2-40B4-BE49-F238E27FC236}">
              <a16:creationId xmlns:a16="http://schemas.microsoft.com/office/drawing/2014/main" id="{00000000-0008-0000-0500-000088B90000}"/>
            </a:ext>
          </a:extLst>
        </xdr:cNvPr>
        <xdr:cNvSpPr>
          <a:spLocks noChangeShapeType="1"/>
        </xdr:cNvSpPr>
      </xdr:nvSpPr>
      <xdr:spPr bwMode="auto">
        <a:xfrm>
          <a:off x="9518316" y="18622211"/>
          <a:ext cx="5805237" cy="12029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  <xdr:twoCellAnchor editAs="oneCell">
    <xdr:from>
      <xdr:col>19</xdr:col>
      <xdr:colOff>200524</xdr:colOff>
      <xdr:row>0</xdr:row>
      <xdr:rowOff>133684</xdr:rowOff>
    </xdr:from>
    <xdr:to>
      <xdr:col>20</xdr:col>
      <xdr:colOff>614851</xdr:colOff>
      <xdr:row>2</xdr:row>
      <xdr:rowOff>254001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46" b="6838"/>
        <a:stretch/>
      </xdr:blipFill>
      <xdr:spPr>
        <a:xfrm>
          <a:off x="13876419" y="133684"/>
          <a:ext cx="1420635" cy="1243264"/>
        </a:xfrm>
        <a:prstGeom prst="rect">
          <a:avLst/>
        </a:prstGeom>
      </xdr:spPr>
    </xdr:pic>
    <xdr:clientData/>
  </xdr:twoCellAnchor>
  <xdr:twoCellAnchor editAs="oneCell">
    <xdr:from>
      <xdr:col>1</xdr:col>
      <xdr:colOff>66841</xdr:colOff>
      <xdr:row>0</xdr:row>
      <xdr:rowOff>133684</xdr:rowOff>
    </xdr:from>
    <xdr:to>
      <xdr:col>3</xdr:col>
      <xdr:colOff>263514</xdr:colOff>
      <xdr:row>2</xdr:row>
      <xdr:rowOff>227263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65" t="6606" r="7673" b="7012"/>
        <a:stretch/>
      </xdr:blipFill>
      <xdr:spPr bwMode="auto">
        <a:xfrm>
          <a:off x="788736" y="133684"/>
          <a:ext cx="1867725" cy="12165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>
    <xdr:from>
      <xdr:col>10</xdr:col>
      <xdr:colOff>587880</xdr:colOff>
      <xdr:row>4</xdr:row>
      <xdr:rowOff>128023</xdr:rowOff>
    </xdr:from>
    <xdr:to>
      <xdr:col>10</xdr:col>
      <xdr:colOff>587880</xdr:colOff>
      <xdr:row>29</xdr:row>
      <xdr:rowOff>129390</xdr:rowOff>
    </xdr:to>
    <xdr:sp macro="" textlink="">
      <xdr:nvSpPr>
        <xdr:cNvPr id="13" name="Line 9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>
          <a:spLocks noChangeShapeType="1"/>
        </xdr:cNvSpPr>
      </xdr:nvSpPr>
      <xdr:spPr bwMode="auto">
        <a:xfrm rot="5400000" flipH="1">
          <a:off x="4978722" y="5870444"/>
          <a:ext cx="6083999" cy="0"/>
        </a:xfrm>
        <a:prstGeom prst="line">
          <a:avLst/>
        </a:prstGeom>
        <a:noFill/>
        <a:ln w="38100">
          <a:solidFill>
            <a:srgbClr val="808080"/>
          </a:solidFill>
          <a:prstDash val="lgDashDotDot"/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  <xdr:txBody>
        <a:bodyPr rtlCol="0"/>
        <a:lstStyle/>
        <a:p>
          <a:pPr algn="ctr"/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0</xdr:row>
      <xdr:rowOff>21167</xdr:rowOff>
    </xdr:from>
    <xdr:to>
      <xdr:col>1</xdr:col>
      <xdr:colOff>1206502</xdr:colOff>
      <xdr:row>2</xdr:row>
      <xdr:rowOff>452967</xdr:rowOff>
    </xdr:to>
    <xdr:pic>
      <xdr:nvPicPr>
        <xdr:cNvPr id="32782" name="Picture 14">
          <a:extLst>
            <a:ext uri="{FF2B5EF4-FFF2-40B4-BE49-F238E27FC236}">
              <a16:creationId xmlns:a16="http://schemas.microsoft.com/office/drawing/2014/main" id="{00000000-0008-0000-0600-00000E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502" y="21167"/>
          <a:ext cx="2095500" cy="1320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254000</xdr:colOff>
      <xdr:row>0</xdr:row>
      <xdr:rowOff>0</xdr:rowOff>
    </xdr:from>
    <xdr:to>
      <xdr:col>8</xdr:col>
      <xdr:colOff>76200</xdr:colOff>
      <xdr:row>2</xdr:row>
      <xdr:rowOff>457200</xdr:rowOff>
    </xdr:to>
    <xdr:pic>
      <xdr:nvPicPr>
        <xdr:cNvPr id="33125" name="Image 1">
          <a:extLst>
            <a:ext uri="{FF2B5EF4-FFF2-40B4-BE49-F238E27FC236}">
              <a16:creationId xmlns:a16="http://schemas.microsoft.com/office/drawing/2014/main" id="{00000000-0008-0000-0600-0000658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7200" y="0"/>
          <a:ext cx="13589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cc@fftir.or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C19"/>
  <sheetViews>
    <sheetView showGridLines="0" workbookViewId="0">
      <selection activeCell="B12" sqref="B12"/>
    </sheetView>
  </sheetViews>
  <sheetFormatPr baseColWidth="10" defaultColWidth="10.6640625" defaultRowHeight="13" x14ac:dyDescent="0.15"/>
  <cols>
    <col min="1" max="1" width="17.6640625" style="62" customWidth="1"/>
    <col min="2" max="2" width="29.6640625" style="62" customWidth="1"/>
    <col min="3" max="3" width="30.83203125" style="62" customWidth="1"/>
    <col min="4" max="4" width="2.6640625" style="62" customWidth="1"/>
    <col min="5" max="16384" width="10.6640625" style="62"/>
  </cols>
  <sheetData>
    <row r="1" spans="1:3" ht="97" customHeight="1" x14ac:dyDescent="0.15">
      <c r="A1" s="197" t="s">
        <v>44</v>
      </c>
      <c r="B1" s="198"/>
      <c r="C1" s="198"/>
    </row>
    <row r="2" spans="1:3" ht="25" customHeight="1" x14ac:dyDescent="0.15">
      <c r="A2" s="199"/>
      <c r="B2" s="199"/>
      <c r="C2" s="199"/>
    </row>
    <row r="3" spans="1:3" ht="25" customHeight="1" x14ac:dyDescent="0.15">
      <c r="A3" s="202" t="s">
        <v>20</v>
      </c>
      <c r="B3" s="202"/>
      <c r="C3" s="202"/>
    </row>
    <row r="4" spans="1:3" ht="25" customHeight="1" x14ac:dyDescent="0.15">
      <c r="A4" s="63" t="s">
        <v>25</v>
      </c>
      <c r="B4" s="48"/>
      <c r="C4" s="64"/>
    </row>
    <row r="5" spans="1:3" ht="25" customHeight="1" x14ac:dyDescent="0.15">
      <c r="A5" s="63" t="s">
        <v>26</v>
      </c>
      <c r="B5" s="6"/>
      <c r="C5" s="64"/>
    </row>
    <row r="6" spans="1:3" ht="25" customHeight="1" x14ac:dyDescent="0.15">
      <c r="A6" s="63" t="s">
        <v>23</v>
      </c>
      <c r="B6" s="33"/>
      <c r="C6" s="64"/>
    </row>
    <row r="7" spans="1:3" ht="25" customHeight="1" x14ac:dyDescent="0.15">
      <c r="A7" s="63" t="s">
        <v>5</v>
      </c>
      <c r="B7" s="6"/>
      <c r="C7" s="64" t="s">
        <v>22</v>
      </c>
    </row>
    <row r="8" spans="1:3" ht="25" customHeight="1" x14ac:dyDescent="0.15">
      <c r="A8" s="63" t="s">
        <v>16</v>
      </c>
      <c r="B8" s="61"/>
      <c r="C8" s="64"/>
    </row>
    <row r="9" spans="1:3" ht="25" customHeight="1" x14ac:dyDescent="0.15">
      <c r="A9" s="5" t="s">
        <v>21</v>
      </c>
      <c r="B9" s="42"/>
      <c r="C9" s="64" t="s">
        <v>18</v>
      </c>
    </row>
    <row r="10" spans="1:3" ht="25" customHeight="1" x14ac:dyDescent="0.15">
      <c r="A10" s="65"/>
      <c r="B10" s="65"/>
      <c r="C10" s="66"/>
    </row>
    <row r="11" spans="1:3" ht="25" customHeight="1" x14ac:dyDescent="0.15">
      <c r="A11" s="202" t="s">
        <v>12</v>
      </c>
      <c r="B11" s="202"/>
      <c r="C11" s="202"/>
    </row>
    <row r="12" spans="1:3" ht="30" customHeight="1" x14ac:dyDescent="0.15">
      <c r="A12" s="63" t="s">
        <v>6</v>
      </c>
      <c r="B12" s="10"/>
      <c r="C12" s="67"/>
    </row>
    <row r="13" spans="1:3" ht="30" customHeight="1" x14ac:dyDescent="0.15">
      <c r="A13" s="5" t="s">
        <v>7</v>
      </c>
      <c r="B13" s="9"/>
      <c r="C13" s="64"/>
    </row>
    <row r="14" spans="1:3" ht="30" customHeight="1" x14ac:dyDescent="0.15">
      <c r="A14" s="5" t="s">
        <v>19</v>
      </c>
      <c r="B14" s="11"/>
      <c r="C14" s="68"/>
    </row>
    <row r="16" spans="1:3" ht="92" customHeight="1" x14ac:dyDescent="0.15">
      <c r="A16" s="200" t="s">
        <v>17</v>
      </c>
      <c r="B16" s="200"/>
      <c r="C16" s="200"/>
    </row>
    <row r="17" spans="1:3" ht="15" customHeight="1" x14ac:dyDescent="0.15">
      <c r="A17" s="203" t="s">
        <v>53</v>
      </c>
      <c r="B17" s="203"/>
      <c r="C17" s="66"/>
    </row>
    <row r="18" spans="1:3" ht="15" customHeight="1" x14ac:dyDescent="0.15">
      <c r="A18" s="204" t="s">
        <v>55</v>
      </c>
      <c r="B18" s="203"/>
      <c r="C18" s="7"/>
    </row>
    <row r="19" spans="1:3" ht="15" customHeight="1" x14ac:dyDescent="0.15">
      <c r="A19" s="201" t="s">
        <v>54</v>
      </c>
      <c r="B19" s="201"/>
      <c r="C19" s="8"/>
    </row>
  </sheetData>
  <sheetProtection algorithmName="SHA-512" hashValue="32lCWsYrK3knF9iBcmb5Lw35SZ9GkEgZcveAyjvo/qTKfSh4xGa/i7gjpMQCGV+ybYhU85dUjcFSn+APWrg7+g==" saltValue="wE6DOoF2p+VZ1vPEGX7XOA==" spinCount="100000" sheet="1" objects="1" scenarios="1" selectLockedCells="1"/>
  <mergeCells count="8">
    <mergeCell ref="A1:C1"/>
    <mergeCell ref="A2:C2"/>
    <mergeCell ref="A16:C16"/>
    <mergeCell ref="A19:B19"/>
    <mergeCell ref="A3:C3"/>
    <mergeCell ref="A11:C11"/>
    <mergeCell ref="A17:B17"/>
    <mergeCell ref="A18:B18"/>
  </mergeCells>
  <phoneticPr fontId="11"/>
  <hyperlinks>
    <hyperlink ref="A18" r:id="rId1" xr:uid="{00000000-0004-0000-0000-000000000000}"/>
  </hyperlinks>
  <printOptions horizontalCentered="1" verticalCentered="1"/>
  <pageMargins left="0.19685039370078741" right="0.19685039370078741" top="0.19685039370078741" bottom="0.19685039370078741" header="0" footer="0"/>
  <pageSetup paperSize="9" orientation="portrait" horizontalDpi="4294967294" verticalDpi="4294967294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1:AM27"/>
  <sheetViews>
    <sheetView showGridLines="0" zoomScale="30" zoomScaleNormal="30" zoomScaleSheetLayoutView="40" zoomScalePageLayoutView="30" workbookViewId="0">
      <pane xSplit="4" ySplit="6" topLeftCell="U41" activePane="bottomRight" state="frozenSplit"/>
      <selection pane="topRight" activeCell="E1" sqref="E1"/>
      <selection pane="bottomLeft" activeCell="A3" sqref="A3"/>
      <selection pane="bottomRight" activeCell="F17" sqref="F17"/>
    </sheetView>
  </sheetViews>
  <sheetFormatPr baseColWidth="10" defaultColWidth="10.6640625" defaultRowHeight="45" outlineLevelCol="1" x14ac:dyDescent="0.15"/>
  <cols>
    <col min="1" max="1" width="31.1640625" style="103" bestFit="1" customWidth="1"/>
    <col min="2" max="2" width="35.83203125" style="104" customWidth="1" outlineLevel="1"/>
    <col min="3" max="3" width="64" style="105" bestFit="1" customWidth="1"/>
    <col min="4" max="4" width="33.6640625" style="105" customWidth="1"/>
    <col min="5" max="5" width="100.33203125" style="105" customWidth="1"/>
    <col min="6" max="8" width="20.1640625" style="70" customWidth="1"/>
    <col min="9" max="9" width="27.1640625" style="70" customWidth="1"/>
    <col min="10" max="10" width="10.83203125" style="70" hidden="1" customWidth="1"/>
    <col min="11" max="11" width="100.33203125" style="105" customWidth="1"/>
    <col min="12" max="14" width="20.1640625" style="70" customWidth="1"/>
    <col min="15" max="15" width="23.83203125" style="70" customWidth="1"/>
    <col min="16" max="16" width="10.5" style="70" hidden="1" customWidth="1"/>
    <col min="17" max="17" width="100.33203125" style="105" customWidth="1"/>
    <col min="18" max="20" width="20.1640625" style="70" customWidth="1"/>
    <col min="21" max="21" width="23.6640625" style="70" customWidth="1"/>
    <col min="22" max="22" width="10.6640625" style="70" hidden="1" customWidth="1"/>
    <col min="23" max="23" width="100.33203125" style="105" customWidth="1"/>
    <col min="24" max="26" width="20.1640625" style="70" customWidth="1"/>
    <col min="27" max="27" width="22.33203125" style="70" customWidth="1"/>
    <col min="28" max="28" width="10.6640625" style="70" hidden="1" customWidth="1"/>
    <col min="29" max="29" width="100.33203125" style="105" customWidth="1"/>
    <col min="30" max="32" width="20.1640625" style="70" customWidth="1"/>
    <col min="33" max="33" width="23.1640625" style="70" customWidth="1"/>
    <col min="34" max="34" width="10.6640625" style="70" hidden="1" customWidth="1"/>
    <col min="35" max="35" width="26.83203125" style="70" customWidth="1"/>
    <col min="36" max="36" width="0.5" style="106" customWidth="1"/>
    <col min="37" max="37" width="9.33203125" style="69" customWidth="1"/>
    <col min="38" max="38" width="73.6640625" style="70" hidden="1" customWidth="1" outlineLevel="1"/>
    <col min="39" max="39" width="14.6640625" style="69" customWidth="1" collapsed="1"/>
    <col min="40" max="45" width="14.6640625" style="69" customWidth="1"/>
    <col min="46" max="16384" width="10.6640625" style="69"/>
  </cols>
  <sheetData>
    <row r="1" spans="1:38" ht="44" customHeight="1" x14ac:dyDescent="0.15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</row>
    <row r="2" spans="1:38" ht="94" customHeight="1" x14ac:dyDescent="0.15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</row>
    <row r="3" spans="1:38" ht="83" customHeight="1" x14ac:dyDescent="0.15">
      <c r="A3" s="206" t="str">
        <f>CONCATENATE("MATCH DE QUALIFICATION"," - ",INFO!B7," - ",INFO!B9)</f>
        <v xml:space="preserve">MATCH DE QUALIFICATION -  - 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</row>
    <row r="4" spans="1:38" ht="83" customHeight="1" thickBo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</row>
    <row r="5" spans="1:38" s="74" customFormat="1" ht="64" customHeight="1" thickTop="1" x14ac:dyDescent="0.15">
      <c r="A5" s="215" t="s">
        <v>43</v>
      </c>
      <c r="B5" s="223" t="s">
        <v>46</v>
      </c>
      <c r="C5" s="217" t="s">
        <v>40</v>
      </c>
      <c r="D5" s="219" t="s">
        <v>45</v>
      </c>
      <c r="E5" s="71" t="s">
        <v>36</v>
      </c>
      <c r="F5" s="221" t="s">
        <v>37</v>
      </c>
      <c r="G5" s="221"/>
      <c r="H5" s="221"/>
      <c r="I5" s="221" t="s">
        <v>38</v>
      </c>
      <c r="J5" s="226" t="s">
        <v>49</v>
      </c>
      <c r="K5" s="72" t="s">
        <v>36</v>
      </c>
      <c r="L5" s="217" t="s">
        <v>37</v>
      </c>
      <c r="M5" s="217"/>
      <c r="N5" s="217"/>
      <c r="O5" s="217" t="s">
        <v>38</v>
      </c>
      <c r="P5" s="213" t="s">
        <v>49</v>
      </c>
      <c r="Q5" s="72" t="s">
        <v>36</v>
      </c>
      <c r="R5" s="217" t="s">
        <v>37</v>
      </c>
      <c r="S5" s="217"/>
      <c r="T5" s="217"/>
      <c r="U5" s="217" t="s">
        <v>38</v>
      </c>
      <c r="V5" s="211" t="s">
        <v>49</v>
      </c>
      <c r="W5" s="72" t="s">
        <v>36</v>
      </c>
      <c r="X5" s="217" t="s">
        <v>37</v>
      </c>
      <c r="Y5" s="217"/>
      <c r="Z5" s="217"/>
      <c r="AA5" s="217" t="s">
        <v>38</v>
      </c>
      <c r="AB5" s="213" t="s">
        <v>49</v>
      </c>
      <c r="AC5" s="72" t="s">
        <v>36</v>
      </c>
      <c r="AD5" s="217" t="s">
        <v>37</v>
      </c>
      <c r="AE5" s="217"/>
      <c r="AF5" s="217"/>
      <c r="AG5" s="217" t="s">
        <v>38</v>
      </c>
      <c r="AH5" s="213" t="s">
        <v>49</v>
      </c>
      <c r="AI5" s="224" t="s">
        <v>47</v>
      </c>
      <c r="AJ5" s="209" t="s">
        <v>42</v>
      </c>
      <c r="AK5" s="73"/>
      <c r="AL5" s="208" t="s">
        <v>41</v>
      </c>
    </row>
    <row r="6" spans="1:38" s="74" customFormat="1" ht="72" customHeight="1" thickBot="1" x14ac:dyDescent="0.2">
      <c r="A6" s="216"/>
      <c r="B6" s="218"/>
      <c r="C6" s="218"/>
      <c r="D6" s="220"/>
      <c r="E6" s="75" t="s">
        <v>28</v>
      </c>
      <c r="F6" s="76">
        <v>1</v>
      </c>
      <c r="G6" s="76">
        <v>2</v>
      </c>
      <c r="H6" s="76">
        <v>3</v>
      </c>
      <c r="I6" s="222"/>
      <c r="J6" s="227"/>
      <c r="K6" s="77" t="s">
        <v>1</v>
      </c>
      <c r="L6" s="78">
        <v>1</v>
      </c>
      <c r="M6" s="78">
        <v>2</v>
      </c>
      <c r="N6" s="78">
        <v>3</v>
      </c>
      <c r="O6" s="218"/>
      <c r="P6" s="214"/>
      <c r="Q6" s="77" t="s">
        <v>2</v>
      </c>
      <c r="R6" s="78">
        <v>1</v>
      </c>
      <c r="S6" s="78">
        <v>2</v>
      </c>
      <c r="T6" s="78">
        <v>3</v>
      </c>
      <c r="U6" s="218"/>
      <c r="V6" s="212"/>
      <c r="W6" s="77" t="s">
        <v>3</v>
      </c>
      <c r="X6" s="78">
        <v>1</v>
      </c>
      <c r="Y6" s="78">
        <v>2</v>
      </c>
      <c r="Z6" s="78">
        <v>3</v>
      </c>
      <c r="AA6" s="218"/>
      <c r="AB6" s="214"/>
      <c r="AC6" s="77" t="s">
        <v>4</v>
      </c>
      <c r="AD6" s="78">
        <v>1</v>
      </c>
      <c r="AE6" s="78">
        <v>2</v>
      </c>
      <c r="AF6" s="78">
        <v>3</v>
      </c>
      <c r="AG6" s="218"/>
      <c r="AH6" s="214"/>
      <c r="AI6" s="225"/>
      <c r="AJ6" s="210"/>
      <c r="AL6" s="208"/>
    </row>
    <row r="7" spans="1:38" ht="120" customHeight="1" thickTop="1" x14ac:dyDescent="0.15">
      <c r="A7" s="79">
        <v>1</v>
      </c>
      <c r="B7" s="131">
        <f t="shared" ref="B7:B26" si="0">RANK(AL7,$AL$7:$AL$26,0)</f>
        <v>1</v>
      </c>
      <c r="C7" s="80"/>
      <c r="D7" s="81"/>
      <c r="E7" s="82"/>
      <c r="F7" s="134"/>
      <c r="G7" s="134"/>
      <c r="H7" s="134"/>
      <c r="I7" s="135">
        <f t="shared" ref="I7" si="1">SUM(F7:H7)</f>
        <v>0</v>
      </c>
      <c r="J7" s="83"/>
      <c r="K7" s="84"/>
      <c r="L7" s="134"/>
      <c r="M7" s="134"/>
      <c r="N7" s="140"/>
      <c r="O7" s="141">
        <f t="shared" ref="O7" si="2">SUM(L7:N7)</f>
        <v>0</v>
      </c>
      <c r="P7" s="85"/>
      <c r="Q7" s="84"/>
      <c r="R7" s="134"/>
      <c r="S7" s="134"/>
      <c r="T7" s="140"/>
      <c r="U7" s="141">
        <f t="shared" ref="U7" si="3">SUM(R7:T7)</f>
        <v>0</v>
      </c>
      <c r="V7" s="85"/>
      <c r="W7" s="84"/>
      <c r="X7" s="134"/>
      <c r="Y7" s="134"/>
      <c r="Z7" s="140"/>
      <c r="AA7" s="141">
        <f t="shared" ref="AA7" si="4">SUM(X7:Z7)</f>
        <v>0</v>
      </c>
      <c r="AB7" s="85"/>
      <c r="AC7" s="84"/>
      <c r="AD7" s="134"/>
      <c r="AE7" s="134"/>
      <c r="AF7" s="140"/>
      <c r="AG7" s="141">
        <f t="shared" ref="AG7" si="5">SUM(AD7:AF7)</f>
        <v>0</v>
      </c>
      <c r="AH7" s="85"/>
      <c r="AI7" s="146">
        <f>SUM(I7+O7+U7+AA7+AG7)</f>
        <v>0</v>
      </c>
      <c r="AJ7" s="86">
        <f>J7+P7+V7+AB7+AH7</f>
        <v>0</v>
      </c>
      <c r="AL7" s="87">
        <f>I7+O7+U7+AA7+AG7+(0.000001*(J7+P7+V7+AB7+AH7))+(0.000000001*(H7+N7+T7+Z7+AF7))+(0.000000000001*(G7+M7+S7+Y7+AE7))</f>
        <v>0</v>
      </c>
    </row>
    <row r="8" spans="1:38" ht="120" customHeight="1" x14ac:dyDescent="0.15">
      <c r="A8" s="88">
        <v>2</v>
      </c>
      <c r="B8" s="132">
        <f t="shared" si="0"/>
        <v>1</v>
      </c>
      <c r="C8" s="89"/>
      <c r="D8" s="90"/>
      <c r="E8" s="91"/>
      <c r="F8" s="136"/>
      <c r="G8" s="136"/>
      <c r="H8" s="136"/>
      <c r="I8" s="137">
        <f>SUM(F8:H8)</f>
        <v>0</v>
      </c>
      <c r="J8" s="92"/>
      <c r="K8" s="93"/>
      <c r="L8" s="136"/>
      <c r="M8" s="136"/>
      <c r="N8" s="142"/>
      <c r="O8" s="143">
        <f>SUM(L8:N8)</f>
        <v>0</v>
      </c>
      <c r="P8" s="94"/>
      <c r="Q8" s="93"/>
      <c r="R8" s="136"/>
      <c r="S8" s="136"/>
      <c r="T8" s="142"/>
      <c r="U8" s="143">
        <f>SUM(R8:T8)</f>
        <v>0</v>
      </c>
      <c r="V8" s="94"/>
      <c r="W8" s="93"/>
      <c r="X8" s="136"/>
      <c r="Y8" s="136"/>
      <c r="Z8" s="142"/>
      <c r="AA8" s="143">
        <f>SUM(X8:Z8)</f>
        <v>0</v>
      </c>
      <c r="AB8" s="94"/>
      <c r="AC8" s="93"/>
      <c r="AD8" s="136"/>
      <c r="AE8" s="136"/>
      <c r="AF8" s="142"/>
      <c r="AG8" s="143">
        <f>SUM(AD8:AF8)</f>
        <v>0</v>
      </c>
      <c r="AH8" s="94"/>
      <c r="AI8" s="147">
        <f>SUM(I8+O8+U8+AA8+AG8)</f>
        <v>0</v>
      </c>
      <c r="AJ8" s="95">
        <f t="shared" ref="AJ8:AJ26" si="6">J8+P8+V8+AB8+AH8</f>
        <v>0</v>
      </c>
      <c r="AL8" s="87">
        <f t="shared" ref="AL8:AL26" si="7">I8+O8+U8+AA8+AG8+(0.000001*(J8+P8+V8+AB8+AH8))+(0.000000001*(H8+N8+T8+Z8+AF8))+(0.000000000001*(G8+M8+S8+Y8+AE8))</f>
        <v>0</v>
      </c>
    </row>
    <row r="9" spans="1:38" ht="120" customHeight="1" x14ac:dyDescent="0.15">
      <c r="A9" s="88">
        <v>3</v>
      </c>
      <c r="B9" s="132">
        <f t="shared" si="0"/>
        <v>1</v>
      </c>
      <c r="C9" s="89"/>
      <c r="D9" s="90"/>
      <c r="E9" s="91"/>
      <c r="F9" s="136"/>
      <c r="G9" s="136"/>
      <c r="H9" s="136"/>
      <c r="I9" s="137">
        <f>SUM(F9:H9)</f>
        <v>0</v>
      </c>
      <c r="J9" s="92"/>
      <c r="K9" s="93"/>
      <c r="L9" s="136"/>
      <c r="M9" s="136"/>
      <c r="N9" s="142"/>
      <c r="O9" s="143">
        <f>SUM(L9:N9)</f>
        <v>0</v>
      </c>
      <c r="P9" s="94"/>
      <c r="Q9" s="93"/>
      <c r="R9" s="136"/>
      <c r="S9" s="136"/>
      <c r="T9" s="142"/>
      <c r="U9" s="143">
        <f>SUM(R9:T9)</f>
        <v>0</v>
      </c>
      <c r="V9" s="94"/>
      <c r="W9" s="93"/>
      <c r="X9" s="136"/>
      <c r="Y9" s="136"/>
      <c r="Z9" s="142"/>
      <c r="AA9" s="143">
        <f>SUM(X9:Z9)</f>
        <v>0</v>
      </c>
      <c r="AB9" s="94"/>
      <c r="AC9" s="93"/>
      <c r="AD9" s="136"/>
      <c r="AE9" s="136"/>
      <c r="AF9" s="142"/>
      <c r="AG9" s="143">
        <f>SUM(AD9:AF9)</f>
        <v>0</v>
      </c>
      <c r="AH9" s="94"/>
      <c r="AI9" s="147">
        <f>SUM(I9+O9+U9+AA9+AG9)</f>
        <v>0</v>
      </c>
      <c r="AJ9" s="95">
        <f t="shared" si="6"/>
        <v>0</v>
      </c>
      <c r="AL9" s="87">
        <f t="shared" si="7"/>
        <v>0</v>
      </c>
    </row>
    <row r="10" spans="1:38" ht="120" customHeight="1" x14ac:dyDescent="0.15">
      <c r="A10" s="88">
        <v>4</v>
      </c>
      <c r="B10" s="132">
        <f t="shared" si="0"/>
        <v>1</v>
      </c>
      <c r="C10" s="89"/>
      <c r="D10" s="90"/>
      <c r="E10" s="91"/>
      <c r="F10" s="136"/>
      <c r="G10" s="136"/>
      <c r="H10" s="136"/>
      <c r="I10" s="137">
        <f t="shared" ref="I10:I26" si="8">SUM(F10:H10)</f>
        <v>0</v>
      </c>
      <c r="J10" s="92"/>
      <c r="K10" s="93"/>
      <c r="L10" s="136"/>
      <c r="M10" s="136"/>
      <c r="N10" s="142"/>
      <c r="O10" s="143">
        <f t="shared" ref="O10:O26" si="9">SUM(L10:N10)</f>
        <v>0</v>
      </c>
      <c r="P10" s="94"/>
      <c r="Q10" s="93"/>
      <c r="R10" s="136"/>
      <c r="S10" s="136"/>
      <c r="T10" s="142"/>
      <c r="U10" s="143">
        <f t="shared" ref="U10:U26" si="10">SUM(R10:T10)</f>
        <v>0</v>
      </c>
      <c r="V10" s="94"/>
      <c r="W10" s="93"/>
      <c r="X10" s="136"/>
      <c r="Y10" s="136"/>
      <c r="Z10" s="142"/>
      <c r="AA10" s="143">
        <f t="shared" ref="AA10:AA26" si="11">SUM(X10:Z10)</f>
        <v>0</v>
      </c>
      <c r="AB10" s="94"/>
      <c r="AC10" s="93"/>
      <c r="AD10" s="136"/>
      <c r="AE10" s="136"/>
      <c r="AF10" s="142"/>
      <c r="AG10" s="143">
        <f t="shared" ref="AG10:AG26" si="12">SUM(AD10:AF10)</f>
        <v>0</v>
      </c>
      <c r="AH10" s="94"/>
      <c r="AI10" s="147">
        <f t="shared" ref="AI10:AI26" si="13">SUM(I10+O10+U10+AA10+AG10)</f>
        <v>0</v>
      </c>
      <c r="AJ10" s="95">
        <f t="shared" si="6"/>
        <v>0</v>
      </c>
      <c r="AL10" s="87">
        <f t="shared" si="7"/>
        <v>0</v>
      </c>
    </row>
    <row r="11" spans="1:38" ht="120" customHeight="1" x14ac:dyDescent="0.15">
      <c r="A11" s="88">
        <v>5</v>
      </c>
      <c r="B11" s="132">
        <f t="shared" si="0"/>
        <v>1</v>
      </c>
      <c r="C11" s="89"/>
      <c r="D11" s="90"/>
      <c r="E11" s="91"/>
      <c r="F11" s="136"/>
      <c r="G11" s="136"/>
      <c r="H11" s="136"/>
      <c r="I11" s="137">
        <f t="shared" si="8"/>
        <v>0</v>
      </c>
      <c r="J11" s="92"/>
      <c r="K11" s="93"/>
      <c r="L11" s="136"/>
      <c r="M11" s="136"/>
      <c r="N11" s="142"/>
      <c r="O11" s="143">
        <f t="shared" si="9"/>
        <v>0</v>
      </c>
      <c r="P11" s="94"/>
      <c r="Q11" s="93"/>
      <c r="R11" s="136"/>
      <c r="S11" s="136"/>
      <c r="T11" s="142"/>
      <c r="U11" s="143">
        <f t="shared" si="10"/>
        <v>0</v>
      </c>
      <c r="V11" s="94"/>
      <c r="W11" s="93"/>
      <c r="X11" s="136"/>
      <c r="Y11" s="136"/>
      <c r="Z11" s="142"/>
      <c r="AA11" s="143">
        <f t="shared" si="11"/>
        <v>0</v>
      </c>
      <c r="AB11" s="94"/>
      <c r="AC11" s="93"/>
      <c r="AD11" s="136"/>
      <c r="AE11" s="136"/>
      <c r="AF11" s="142"/>
      <c r="AG11" s="143">
        <f t="shared" si="12"/>
        <v>0</v>
      </c>
      <c r="AH11" s="94"/>
      <c r="AI11" s="147">
        <f t="shared" si="13"/>
        <v>0</v>
      </c>
      <c r="AJ11" s="95">
        <f t="shared" si="6"/>
        <v>0</v>
      </c>
      <c r="AL11" s="87">
        <f t="shared" si="7"/>
        <v>0</v>
      </c>
    </row>
    <row r="12" spans="1:38" ht="120" customHeight="1" x14ac:dyDescent="0.15">
      <c r="A12" s="88">
        <v>6</v>
      </c>
      <c r="B12" s="132">
        <f t="shared" si="0"/>
        <v>1</v>
      </c>
      <c r="C12" s="89"/>
      <c r="D12" s="90"/>
      <c r="E12" s="91"/>
      <c r="F12" s="136"/>
      <c r="G12" s="136"/>
      <c r="H12" s="136"/>
      <c r="I12" s="137">
        <f t="shared" si="8"/>
        <v>0</v>
      </c>
      <c r="J12" s="92"/>
      <c r="K12" s="93"/>
      <c r="L12" s="136"/>
      <c r="M12" s="136"/>
      <c r="N12" s="142"/>
      <c r="O12" s="143">
        <f t="shared" si="9"/>
        <v>0</v>
      </c>
      <c r="P12" s="94"/>
      <c r="Q12" s="93"/>
      <c r="R12" s="136"/>
      <c r="S12" s="136"/>
      <c r="T12" s="142"/>
      <c r="U12" s="143">
        <f t="shared" si="10"/>
        <v>0</v>
      </c>
      <c r="V12" s="94"/>
      <c r="W12" s="93"/>
      <c r="X12" s="136"/>
      <c r="Y12" s="136"/>
      <c r="Z12" s="142"/>
      <c r="AA12" s="143">
        <f t="shared" si="11"/>
        <v>0</v>
      </c>
      <c r="AB12" s="94"/>
      <c r="AC12" s="93"/>
      <c r="AD12" s="136"/>
      <c r="AE12" s="136"/>
      <c r="AF12" s="142"/>
      <c r="AG12" s="143">
        <f t="shared" si="12"/>
        <v>0</v>
      </c>
      <c r="AH12" s="94"/>
      <c r="AI12" s="147">
        <f t="shared" si="13"/>
        <v>0</v>
      </c>
      <c r="AJ12" s="95">
        <f t="shared" si="6"/>
        <v>0</v>
      </c>
      <c r="AL12" s="87">
        <f t="shared" si="7"/>
        <v>0</v>
      </c>
    </row>
    <row r="13" spans="1:38" ht="120" customHeight="1" x14ac:dyDescent="0.15">
      <c r="A13" s="88">
        <v>7</v>
      </c>
      <c r="B13" s="132">
        <f t="shared" si="0"/>
        <v>1</v>
      </c>
      <c r="C13" s="89"/>
      <c r="D13" s="90"/>
      <c r="E13" s="91"/>
      <c r="F13" s="136"/>
      <c r="G13" s="136"/>
      <c r="H13" s="136"/>
      <c r="I13" s="137">
        <f t="shared" si="8"/>
        <v>0</v>
      </c>
      <c r="J13" s="92"/>
      <c r="K13" s="93"/>
      <c r="L13" s="136"/>
      <c r="M13" s="136"/>
      <c r="N13" s="142"/>
      <c r="O13" s="143">
        <f t="shared" si="9"/>
        <v>0</v>
      </c>
      <c r="P13" s="94"/>
      <c r="Q13" s="93"/>
      <c r="R13" s="136"/>
      <c r="S13" s="136"/>
      <c r="T13" s="142"/>
      <c r="U13" s="143">
        <f t="shared" si="10"/>
        <v>0</v>
      </c>
      <c r="V13" s="94"/>
      <c r="W13" s="93"/>
      <c r="X13" s="136"/>
      <c r="Y13" s="136"/>
      <c r="Z13" s="142"/>
      <c r="AA13" s="143">
        <f t="shared" si="11"/>
        <v>0</v>
      </c>
      <c r="AB13" s="94"/>
      <c r="AC13" s="93"/>
      <c r="AD13" s="136"/>
      <c r="AE13" s="136"/>
      <c r="AF13" s="142"/>
      <c r="AG13" s="143">
        <f t="shared" si="12"/>
        <v>0</v>
      </c>
      <c r="AH13" s="94"/>
      <c r="AI13" s="147">
        <f t="shared" si="13"/>
        <v>0</v>
      </c>
      <c r="AJ13" s="95">
        <f t="shared" si="6"/>
        <v>0</v>
      </c>
      <c r="AL13" s="87">
        <f t="shared" si="7"/>
        <v>0</v>
      </c>
    </row>
    <row r="14" spans="1:38" ht="120" customHeight="1" x14ac:dyDescent="0.15">
      <c r="A14" s="88">
        <v>8</v>
      </c>
      <c r="B14" s="132">
        <f t="shared" si="0"/>
        <v>1</v>
      </c>
      <c r="C14" s="89"/>
      <c r="D14" s="90"/>
      <c r="E14" s="91"/>
      <c r="F14" s="136"/>
      <c r="G14" s="136"/>
      <c r="H14" s="136"/>
      <c r="I14" s="137">
        <f t="shared" si="8"/>
        <v>0</v>
      </c>
      <c r="J14" s="92"/>
      <c r="K14" s="93"/>
      <c r="L14" s="136"/>
      <c r="M14" s="136"/>
      <c r="N14" s="142"/>
      <c r="O14" s="143">
        <f t="shared" si="9"/>
        <v>0</v>
      </c>
      <c r="P14" s="94"/>
      <c r="Q14" s="93"/>
      <c r="R14" s="136"/>
      <c r="S14" s="136"/>
      <c r="T14" s="142"/>
      <c r="U14" s="143">
        <f t="shared" si="10"/>
        <v>0</v>
      </c>
      <c r="V14" s="94"/>
      <c r="W14" s="93"/>
      <c r="X14" s="136"/>
      <c r="Y14" s="136"/>
      <c r="Z14" s="142"/>
      <c r="AA14" s="143">
        <f t="shared" si="11"/>
        <v>0</v>
      </c>
      <c r="AB14" s="94"/>
      <c r="AC14" s="93"/>
      <c r="AD14" s="136"/>
      <c r="AE14" s="136"/>
      <c r="AF14" s="142"/>
      <c r="AG14" s="143">
        <f t="shared" si="12"/>
        <v>0</v>
      </c>
      <c r="AH14" s="94"/>
      <c r="AI14" s="147">
        <f t="shared" si="13"/>
        <v>0</v>
      </c>
      <c r="AJ14" s="95">
        <f t="shared" si="6"/>
        <v>0</v>
      </c>
      <c r="AL14" s="87">
        <f t="shared" si="7"/>
        <v>0</v>
      </c>
    </row>
    <row r="15" spans="1:38" ht="120" customHeight="1" x14ac:dyDescent="0.15">
      <c r="A15" s="88">
        <v>9</v>
      </c>
      <c r="B15" s="132">
        <f t="shared" si="0"/>
        <v>1</v>
      </c>
      <c r="C15" s="89"/>
      <c r="D15" s="90"/>
      <c r="E15" s="91"/>
      <c r="F15" s="136"/>
      <c r="G15" s="136"/>
      <c r="H15" s="136"/>
      <c r="I15" s="137">
        <f t="shared" si="8"/>
        <v>0</v>
      </c>
      <c r="J15" s="92"/>
      <c r="K15" s="93"/>
      <c r="L15" s="136"/>
      <c r="M15" s="136"/>
      <c r="N15" s="142"/>
      <c r="O15" s="143">
        <f t="shared" si="9"/>
        <v>0</v>
      </c>
      <c r="P15" s="94"/>
      <c r="Q15" s="93"/>
      <c r="R15" s="136"/>
      <c r="S15" s="136"/>
      <c r="T15" s="142"/>
      <c r="U15" s="143">
        <f t="shared" si="10"/>
        <v>0</v>
      </c>
      <c r="V15" s="94"/>
      <c r="W15" s="93"/>
      <c r="X15" s="136"/>
      <c r="Y15" s="136"/>
      <c r="Z15" s="142"/>
      <c r="AA15" s="143">
        <f t="shared" si="11"/>
        <v>0</v>
      </c>
      <c r="AB15" s="94"/>
      <c r="AC15" s="93"/>
      <c r="AD15" s="136"/>
      <c r="AE15" s="136"/>
      <c r="AF15" s="142"/>
      <c r="AG15" s="143">
        <f t="shared" si="12"/>
        <v>0</v>
      </c>
      <c r="AH15" s="94"/>
      <c r="AI15" s="147">
        <f t="shared" si="13"/>
        <v>0</v>
      </c>
      <c r="AJ15" s="95">
        <f t="shared" si="6"/>
        <v>0</v>
      </c>
      <c r="AL15" s="87">
        <f t="shared" si="7"/>
        <v>0</v>
      </c>
    </row>
    <row r="16" spans="1:38" ht="120" customHeight="1" x14ac:dyDescent="0.15">
      <c r="A16" s="88">
        <v>10</v>
      </c>
      <c r="B16" s="132">
        <f t="shared" si="0"/>
        <v>1</v>
      </c>
      <c r="C16" s="89"/>
      <c r="D16" s="90"/>
      <c r="E16" s="91"/>
      <c r="F16" s="136"/>
      <c r="G16" s="136"/>
      <c r="H16" s="136"/>
      <c r="I16" s="137">
        <f t="shared" si="8"/>
        <v>0</v>
      </c>
      <c r="J16" s="92"/>
      <c r="K16" s="93"/>
      <c r="L16" s="136"/>
      <c r="M16" s="136"/>
      <c r="N16" s="142"/>
      <c r="O16" s="143">
        <f t="shared" si="9"/>
        <v>0</v>
      </c>
      <c r="P16" s="94"/>
      <c r="Q16" s="93"/>
      <c r="R16" s="136"/>
      <c r="S16" s="136"/>
      <c r="T16" s="142"/>
      <c r="U16" s="143">
        <f t="shared" si="10"/>
        <v>0</v>
      </c>
      <c r="V16" s="94"/>
      <c r="W16" s="93"/>
      <c r="X16" s="136"/>
      <c r="Y16" s="136"/>
      <c r="Z16" s="142"/>
      <c r="AA16" s="143">
        <f t="shared" si="11"/>
        <v>0</v>
      </c>
      <c r="AB16" s="94"/>
      <c r="AC16" s="93"/>
      <c r="AD16" s="136"/>
      <c r="AE16" s="136"/>
      <c r="AF16" s="142"/>
      <c r="AG16" s="143">
        <f t="shared" si="12"/>
        <v>0</v>
      </c>
      <c r="AH16" s="94"/>
      <c r="AI16" s="147">
        <f t="shared" si="13"/>
        <v>0</v>
      </c>
      <c r="AJ16" s="95">
        <f t="shared" si="6"/>
        <v>0</v>
      </c>
      <c r="AL16" s="87">
        <f t="shared" si="7"/>
        <v>0</v>
      </c>
    </row>
    <row r="17" spans="1:38" ht="120" customHeight="1" x14ac:dyDescent="0.15">
      <c r="A17" s="88">
        <v>11</v>
      </c>
      <c r="B17" s="132">
        <f t="shared" si="0"/>
        <v>1</v>
      </c>
      <c r="C17" s="89"/>
      <c r="D17" s="90"/>
      <c r="E17" s="91"/>
      <c r="F17" s="136"/>
      <c r="G17" s="136"/>
      <c r="H17" s="136"/>
      <c r="I17" s="137">
        <f t="shared" si="8"/>
        <v>0</v>
      </c>
      <c r="J17" s="92"/>
      <c r="K17" s="93"/>
      <c r="L17" s="136"/>
      <c r="M17" s="136"/>
      <c r="N17" s="142"/>
      <c r="O17" s="143">
        <f t="shared" si="9"/>
        <v>0</v>
      </c>
      <c r="P17" s="94"/>
      <c r="Q17" s="93"/>
      <c r="R17" s="136"/>
      <c r="S17" s="136"/>
      <c r="T17" s="142"/>
      <c r="U17" s="143">
        <f t="shared" si="10"/>
        <v>0</v>
      </c>
      <c r="V17" s="94"/>
      <c r="W17" s="93"/>
      <c r="X17" s="136"/>
      <c r="Y17" s="136"/>
      <c r="Z17" s="142"/>
      <c r="AA17" s="143">
        <f t="shared" si="11"/>
        <v>0</v>
      </c>
      <c r="AB17" s="94"/>
      <c r="AC17" s="93"/>
      <c r="AD17" s="136"/>
      <c r="AE17" s="136"/>
      <c r="AF17" s="142"/>
      <c r="AG17" s="143">
        <f t="shared" si="12"/>
        <v>0</v>
      </c>
      <c r="AH17" s="94"/>
      <c r="AI17" s="147">
        <f t="shared" si="13"/>
        <v>0</v>
      </c>
      <c r="AJ17" s="95">
        <f t="shared" si="6"/>
        <v>0</v>
      </c>
      <c r="AL17" s="87">
        <f t="shared" si="7"/>
        <v>0</v>
      </c>
    </row>
    <row r="18" spans="1:38" ht="120" customHeight="1" x14ac:dyDescent="0.15">
      <c r="A18" s="88">
        <v>12</v>
      </c>
      <c r="B18" s="132">
        <f t="shared" si="0"/>
        <v>1</v>
      </c>
      <c r="C18" s="89"/>
      <c r="D18" s="90"/>
      <c r="E18" s="91"/>
      <c r="F18" s="136"/>
      <c r="G18" s="136"/>
      <c r="H18" s="136"/>
      <c r="I18" s="137">
        <f t="shared" si="8"/>
        <v>0</v>
      </c>
      <c r="J18" s="92"/>
      <c r="K18" s="93"/>
      <c r="L18" s="136"/>
      <c r="M18" s="136"/>
      <c r="N18" s="142"/>
      <c r="O18" s="143">
        <f t="shared" si="9"/>
        <v>0</v>
      </c>
      <c r="P18" s="94"/>
      <c r="Q18" s="93"/>
      <c r="R18" s="136"/>
      <c r="S18" s="136"/>
      <c r="T18" s="142"/>
      <c r="U18" s="143">
        <f t="shared" si="10"/>
        <v>0</v>
      </c>
      <c r="V18" s="94"/>
      <c r="W18" s="93"/>
      <c r="X18" s="136"/>
      <c r="Y18" s="136"/>
      <c r="Z18" s="142"/>
      <c r="AA18" s="143">
        <f t="shared" si="11"/>
        <v>0</v>
      </c>
      <c r="AB18" s="94"/>
      <c r="AC18" s="93"/>
      <c r="AD18" s="136"/>
      <c r="AE18" s="136"/>
      <c r="AF18" s="142"/>
      <c r="AG18" s="143">
        <f t="shared" si="12"/>
        <v>0</v>
      </c>
      <c r="AH18" s="94"/>
      <c r="AI18" s="147">
        <f t="shared" si="13"/>
        <v>0</v>
      </c>
      <c r="AJ18" s="95">
        <f t="shared" si="6"/>
        <v>0</v>
      </c>
      <c r="AL18" s="87">
        <f t="shared" si="7"/>
        <v>0</v>
      </c>
    </row>
    <row r="19" spans="1:38" ht="120" customHeight="1" x14ac:dyDescent="0.15">
      <c r="A19" s="88">
        <v>13</v>
      </c>
      <c r="B19" s="132">
        <f t="shared" si="0"/>
        <v>1</v>
      </c>
      <c r="C19" s="89"/>
      <c r="D19" s="90"/>
      <c r="E19" s="91"/>
      <c r="F19" s="136"/>
      <c r="G19" s="136"/>
      <c r="H19" s="136"/>
      <c r="I19" s="137">
        <f t="shared" si="8"/>
        <v>0</v>
      </c>
      <c r="J19" s="92"/>
      <c r="K19" s="93"/>
      <c r="L19" s="136"/>
      <c r="M19" s="136"/>
      <c r="N19" s="142"/>
      <c r="O19" s="143">
        <f t="shared" si="9"/>
        <v>0</v>
      </c>
      <c r="P19" s="94"/>
      <c r="Q19" s="93"/>
      <c r="R19" s="136"/>
      <c r="S19" s="136"/>
      <c r="T19" s="142"/>
      <c r="U19" s="143">
        <f t="shared" si="10"/>
        <v>0</v>
      </c>
      <c r="V19" s="94"/>
      <c r="W19" s="93"/>
      <c r="X19" s="136"/>
      <c r="Y19" s="136"/>
      <c r="Z19" s="142"/>
      <c r="AA19" s="143">
        <f t="shared" si="11"/>
        <v>0</v>
      </c>
      <c r="AB19" s="94"/>
      <c r="AC19" s="93"/>
      <c r="AD19" s="136"/>
      <c r="AE19" s="136"/>
      <c r="AF19" s="142"/>
      <c r="AG19" s="143">
        <f t="shared" si="12"/>
        <v>0</v>
      </c>
      <c r="AH19" s="94"/>
      <c r="AI19" s="147">
        <f t="shared" si="13"/>
        <v>0</v>
      </c>
      <c r="AJ19" s="95">
        <f t="shared" si="6"/>
        <v>0</v>
      </c>
      <c r="AL19" s="87">
        <f t="shared" si="7"/>
        <v>0</v>
      </c>
    </row>
    <row r="20" spans="1:38" ht="120" customHeight="1" x14ac:dyDescent="0.15">
      <c r="A20" s="88">
        <v>14</v>
      </c>
      <c r="B20" s="132">
        <f t="shared" si="0"/>
        <v>1</v>
      </c>
      <c r="C20" s="89"/>
      <c r="D20" s="90"/>
      <c r="E20" s="91"/>
      <c r="F20" s="136"/>
      <c r="G20" s="136"/>
      <c r="H20" s="136"/>
      <c r="I20" s="137">
        <f t="shared" si="8"/>
        <v>0</v>
      </c>
      <c r="J20" s="92"/>
      <c r="K20" s="93"/>
      <c r="L20" s="136"/>
      <c r="M20" s="136"/>
      <c r="N20" s="142"/>
      <c r="O20" s="143">
        <f t="shared" si="9"/>
        <v>0</v>
      </c>
      <c r="P20" s="94"/>
      <c r="Q20" s="93"/>
      <c r="R20" s="136"/>
      <c r="S20" s="136"/>
      <c r="T20" s="142"/>
      <c r="U20" s="143">
        <f t="shared" si="10"/>
        <v>0</v>
      </c>
      <c r="V20" s="94"/>
      <c r="W20" s="93"/>
      <c r="X20" s="136"/>
      <c r="Y20" s="136"/>
      <c r="Z20" s="142"/>
      <c r="AA20" s="143">
        <f t="shared" si="11"/>
        <v>0</v>
      </c>
      <c r="AB20" s="94"/>
      <c r="AC20" s="93"/>
      <c r="AD20" s="136"/>
      <c r="AE20" s="136"/>
      <c r="AF20" s="142"/>
      <c r="AG20" s="143">
        <f t="shared" si="12"/>
        <v>0</v>
      </c>
      <c r="AH20" s="94"/>
      <c r="AI20" s="147">
        <f t="shared" si="13"/>
        <v>0</v>
      </c>
      <c r="AJ20" s="95">
        <f t="shared" si="6"/>
        <v>0</v>
      </c>
      <c r="AL20" s="87">
        <f t="shared" si="7"/>
        <v>0</v>
      </c>
    </row>
    <row r="21" spans="1:38" ht="120" customHeight="1" x14ac:dyDescent="0.15">
      <c r="A21" s="88">
        <v>15</v>
      </c>
      <c r="B21" s="132">
        <f t="shared" si="0"/>
        <v>1</v>
      </c>
      <c r="C21" s="89"/>
      <c r="D21" s="90"/>
      <c r="E21" s="91"/>
      <c r="F21" s="136"/>
      <c r="G21" s="136"/>
      <c r="H21" s="136"/>
      <c r="I21" s="137">
        <f t="shared" si="8"/>
        <v>0</v>
      </c>
      <c r="J21" s="92"/>
      <c r="K21" s="93"/>
      <c r="L21" s="136"/>
      <c r="M21" s="136"/>
      <c r="N21" s="142"/>
      <c r="O21" s="143">
        <f t="shared" si="9"/>
        <v>0</v>
      </c>
      <c r="P21" s="94"/>
      <c r="Q21" s="93"/>
      <c r="R21" s="136"/>
      <c r="S21" s="136"/>
      <c r="T21" s="142"/>
      <c r="U21" s="143">
        <f t="shared" si="10"/>
        <v>0</v>
      </c>
      <c r="V21" s="94"/>
      <c r="W21" s="93"/>
      <c r="X21" s="136"/>
      <c r="Y21" s="136"/>
      <c r="Z21" s="142"/>
      <c r="AA21" s="143">
        <f t="shared" si="11"/>
        <v>0</v>
      </c>
      <c r="AB21" s="94"/>
      <c r="AC21" s="93"/>
      <c r="AD21" s="136"/>
      <c r="AE21" s="136"/>
      <c r="AF21" s="142"/>
      <c r="AG21" s="143">
        <f t="shared" si="12"/>
        <v>0</v>
      </c>
      <c r="AH21" s="94"/>
      <c r="AI21" s="147">
        <f t="shared" si="13"/>
        <v>0</v>
      </c>
      <c r="AJ21" s="95">
        <f t="shared" si="6"/>
        <v>0</v>
      </c>
      <c r="AL21" s="87">
        <f t="shared" si="7"/>
        <v>0</v>
      </c>
    </row>
    <row r="22" spans="1:38" ht="120" customHeight="1" x14ac:dyDescent="0.15">
      <c r="A22" s="88">
        <v>16</v>
      </c>
      <c r="B22" s="132">
        <f t="shared" si="0"/>
        <v>1</v>
      </c>
      <c r="C22" s="89"/>
      <c r="D22" s="90"/>
      <c r="E22" s="91"/>
      <c r="F22" s="136"/>
      <c r="G22" s="136"/>
      <c r="H22" s="136"/>
      <c r="I22" s="137">
        <f t="shared" si="8"/>
        <v>0</v>
      </c>
      <c r="J22" s="92"/>
      <c r="K22" s="93"/>
      <c r="L22" s="136"/>
      <c r="M22" s="136"/>
      <c r="N22" s="142"/>
      <c r="O22" s="143">
        <f t="shared" si="9"/>
        <v>0</v>
      </c>
      <c r="P22" s="94"/>
      <c r="Q22" s="93"/>
      <c r="R22" s="136"/>
      <c r="S22" s="136"/>
      <c r="T22" s="142"/>
      <c r="U22" s="143">
        <f t="shared" si="10"/>
        <v>0</v>
      </c>
      <c r="V22" s="94"/>
      <c r="W22" s="93"/>
      <c r="X22" s="136"/>
      <c r="Y22" s="136"/>
      <c r="Z22" s="142"/>
      <c r="AA22" s="143">
        <f t="shared" si="11"/>
        <v>0</v>
      </c>
      <c r="AB22" s="94"/>
      <c r="AC22" s="93"/>
      <c r="AD22" s="136"/>
      <c r="AE22" s="136"/>
      <c r="AF22" s="142"/>
      <c r="AG22" s="143">
        <f t="shared" si="12"/>
        <v>0</v>
      </c>
      <c r="AH22" s="94"/>
      <c r="AI22" s="147">
        <f t="shared" si="13"/>
        <v>0</v>
      </c>
      <c r="AJ22" s="95">
        <f t="shared" si="6"/>
        <v>0</v>
      </c>
      <c r="AL22" s="87">
        <f t="shared" si="7"/>
        <v>0</v>
      </c>
    </row>
    <row r="23" spans="1:38" ht="120" customHeight="1" x14ac:dyDescent="0.15">
      <c r="A23" s="88">
        <v>17</v>
      </c>
      <c r="B23" s="132">
        <f t="shared" si="0"/>
        <v>1</v>
      </c>
      <c r="C23" s="89"/>
      <c r="D23" s="90"/>
      <c r="E23" s="91"/>
      <c r="F23" s="136"/>
      <c r="G23" s="136"/>
      <c r="H23" s="136"/>
      <c r="I23" s="137">
        <f t="shared" si="8"/>
        <v>0</v>
      </c>
      <c r="J23" s="92"/>
      <c r="K23" s="93"/>
      <c r="L23" s="136"/>
      <c r="M23" s="136"/>
      <c r="N23" s="142"/>
      <c r="O23" s="143">
        <f t="shared" si="9"/>
        <v>0</v>
      </c>
      <c r="P23" s="94"/>
      <c r="Q23" s="93"/>
      <c r="R23" s="136"/>
      <c r="S23" s="136"/>
      <c r="T23" s="142"/>
      <c r="U23" s="143">
        <f t="shared" si="10"/>
        <v>0</v>
      </c>
      <c r="V23" s="94"/>
      <c r="W23" s="93"/>
      <c r="X23" s="136"/>
      <c r="Y23" s="136"/>
      <c r="Z23" s="142"/>
      <c r="AA23" s="143">
        <f t="shared" si="11"/>
        <v>0</v>
      </c>
      <c r="AB23" s="94"/>
      <c r="AC23" s="93"/>
      <c r="AD23" s="136"/>
      <c r="AE23" s="136"/>
      <c r="AF23" s="142"/>
      <c r="AG23" s="143">
        <f t="shared" si="12"/>
        <v>0</v>
      </c>
      <c r="AH23" s="94"/>
      <c r="AI23" s="147">
        <f t="shared" si="13"/>
        <v>0</v>
      </c>
      <c r="AJ23" s="95">
        <f t="shared" si="6"/>
        <v>0</v>
      </c>
      <c r="AL23" s="87">
        <f t="shared" si="7"/>
        <v>0</v>
      </c>
    </row>
    <row r="24" spans="1:38" ht="120" customHeight="1" x14ac:dyDescent="0.15">
      <c r="A24" s="88">
        <v>18</v>
      </c>
      <c r="B24" s="132">
        <f t="shared" si="0"/>
        <v>1</v>
      </c>
      <c r="C24" s="89"/>
      <c r="D24" s="90"/>
      <c r="E24" s="91"/>
      <c r="F24" s="136"/>
      <c r="G24" s="136"/>
      <c r="H24" s="136"/>
      <c r="I24" s="137">
        <f t="shared" si="8"/>
        <v>0</v>
      </c>
      <c r="J24" s="92"/>
      <c r="K24" s="93"/>
      <c r="L24" s="136"/>
      <c r="M24" s="136"/>
      <c r="N24" s="142"/>
      <c r="O24" s="143">
        <f t="shared" si="9"/>
        <v>0</v>
      </c>
      <c r="P24" s="94"/>
      <c r="Q24" s="93"/>
      <c r="R24" s="136"/>
      <c r="S24" s="136"/>
      <c r="T24" s="142"/>
      <c r="U24" s="143">
        <f t="shared" si="10"/>
        <v>0</v>
      </c>
      <c r="V24" s="94"/>
      <c r="W24" s="93"/>
      <c r="X24" s="136"/>
      <c r="Y24" s="136"/>
      <c r="Z24" s="142"/>
      <c r="AA24" s="143">
        <f t="shared" si="11"/>
        <v>0</v>
      </c>
      <c r="AB24" s="94"/>
      <c r="AC24" s="93"/>
      <c r="AD24" s="136"/>
      <c r="AE24" s="136"/>
      <c r="AF24" s="142"/>
      <c r="AG24" s="143">
        <f t="shared" si="12"/>
        <v>0</v>
      </c>
      <c r="AH24" s="94"/>
      <c r="AI24" s="147">
        <f t="shared" si="13"/>
        <v>0</v>
      </c>
      <c r="AJ24" s="95">
        <f t="shared" si="6"/>
        <v>0</v>
      </c>
      <c r="AL24" s="87">
        <f t="shared" si="7"/>
        <v>0</v>
      </c>
    </row>
    <row r="25" spans="1:38" ht="120" customHeight="1" x14ac:dyDescent="0.15">
      <c r="A25" s="88">
        <v>19</v>
      </c>
      <c r="B25" s="132">
        <f t="shared" si="0"/>
        <v>1</v>
      </c>
      <c r="C25" s="89"/>
      <c r="D25" s="90"/>
      <c r="E25" s="91"/>
      <c r="F25" s="136"/>
      <c r="G25" s="136"/>
      <c r="H25" s="136"/>
      <c r="I25" s="137">
        <f t="shared" si="8"/>
        <v>0</v>
      </c>
      <c r="J25" s="92"/>
      <c r="K25" s="93"/>
      <c r="L25" s="136"/>
      <c r="M25" s="136"/>
      <c r="N25" s="142"/>
      <c r="O25" s="143">
        <f t="shared" si="9"/>
        <v>0</v>
      </c>
      <c r="P25" s="94"/>
      <c r="Q25" s="93"/>
      <c r="R25" s="136"/>
      <c r="S25" s="136"/>
      <c r="T25" s="142"/>
      <c r="U25" s="143">
        <f t="shared" si="10"/>
        <v>0</v>
      </c>
      <c r="V25" s="94"/>
      <c r="W25" s="93"/>
      <c r="X25" s="136"/>
      <c r="Y25" s="136"/>
      <c r="Z25" s="142"/>
      <c r="AA25" s="143">
        <f t="shared" si="11"/>
        <v>0</v>
      </c>
      <c r="AB25" s="94"/>
      <c r="AC25" s="93"/>
      <c r="AD25" s="136"/>
      <c r="AE25" s="136"/>
      <c r="AF25" s="142"/>
      <c r="AG25" s="143">
        <f t="shared" si="12"/>
        <v>0</v>
      </c>
      <c r="AH25" s="94"/>
      <c r="AI25" s="147">
        <f t="shared" si="13"/>
        <v>0</v>
      </c>
      <c r="AJ25" s="95">
        <f t="shared" si="6"/>
        <v>0</v>
      </c>
      <c r="AL25" s="87">
        <f t="shared" si="7"/>
        <v>0</v>
      </c>
    </row>
    <row r="26" spans="1:38" ht="120" customHeight="1" thickBot="1" x14ac:dyDescent="0.2">
      <c r="A26" s="77">
        <v>20</v>
      </c>
      <c r="B26" s="133">
        <f t="shared" si="0"/>
        <v>1</v>
      </c>
      <c r="C26" s="96"/>
      <c r="D26" s="97"/>
      <c r="E26" s="98"/>
      <c r="F26" s="138"/>
      <c r="G26" s="138"/>
      <c r="H26" s="138"/>
      <c r="I26" s="139">
        <f t="shared" si="8"/>
        <v>0</v>
      </c>
      <c r="J26" s="99"/>
      <c r="K26" s="100"/>
      <c r="L26" s="138"/>
      <c r="M26" s="138"/>
      <c r="N26" s="144"/>
      <c r="O26" s="145">
        <f t="shared" si="9"/>
        <v>0</v>
      </c>
      <c r="P26" s="101"/>
      <c r="Q26" s="100"/>
      <c r="R26" s="138"/>
      <c r="S26" s="138"/>
      <c r="T26" s="144"/>
      <c r="U26" s="145">
        <f t="shared" si="10"/>
        <v>0</v>
      </c>
      <c r="V26" s="101"/>
      <c r="W26" s="100"/>
      <c r="X26" s="138"/>
      <c r="Y26" s="138"/>
      <c r="Z26" s="144"/>
      <c r="AA26" s="145">
        <f t="shared" si="11"/>
        <v>0</v>
      </c>
      <c r="AB26" s="101"/>
      <c r="AC26" s="100"/>
      <c r="AD26" s="138"/>
      <c r="AE26" s="138"/>
      <c r="AF26" s="144"/>
      <c r="AG26" s="145">
        <f t="shared" si="12"/>
        <v>0</v>
      </c>
      <c r="AH26" s="101"/>
      <c r="AI26" s="148">
        <f t="shared" si="13"/>
        <v>0</v>
      </c>
      <c r="AJ26" s="102">
        <f t="shared" si="6"/>
        <v>0</v>
      </c>
      <c r="AL26" s="87">
        <f t="shared" si="7"/>
        <v>0</v>
      </c>
    </row>
    <row r="27" spans="1:38" ht="46" thickTop="1" x14ac:dyDescent="0.15"/>
  </sheetData>
  <sheetProtection algorithmName="SHA-512" hashValue="dkuiIvI1+0Hw1XJil4QYAeQF5mlIx1BDwBR8Lb5o8qWw2scIUw1zMEADp8chi5QlJUDsk8IfqxWohGodgm4IRw==" saltValue="Num7cmoCKkaynVI6c5wfjQ==" spinCount="100000" sheet="1" objects="1" scenarios="1" formatColumns="0" selectLockedCells="1"/>
  <mergeCells count="24">
    <mergeCell ref="X5:Z5"/>
    <mergeCell ref="AA5:AA6"/>
    <mergeCell ref="J5:J6"/>
    <mergeCell ref="P5:P6"/>
    <mergeCell ref="AH5:AH6"/>
    <mergeCell ref="AD5:AF5"/>
    <mergeCell ref="AG5:AG6"/>
    <mergeCell ref="U5:U6"/>
    <mergeCell ref="A1:AC2"/>
    <mergeCell ref="A3:AJ4"/>
    <mergeCell ref="AL5:AL6"/>
    <mergeCell ref="AJ5:AJ6"/>
    <mergeCell ref="V5:V6"/>
    <mergeCell ref="AB5:AB6"/>
    <mergeCell ref="A5:A6"/>
    <mergeCell ref="C5:C6"/>
    <mergeCell ref="D5:D6"/>
    <mergeCell ref="F5:H5"/>
    <mergeCell ref="I5:I6"/>
    <mergeCell ref="L5:N5"/>
    <mergeCell ref="O5:O6"/>
    <mergeCell ref="R5:T5"/>
    <mergeCell ref="B5:B6"/>
    <mergeCell ref="AI5:AI6"/>
  </mergeCells>
  <phoneticPr fontId="2" type="noConversion"/>
  <printOptions horizontalCentered="1" verticalCentered="1"/>
  <pageMargins left="0.19685039370078741" right="0.19685039370078741" top="0.19685039370078741" bottom="0.19685039370078741" header="0" footer="0"/>
  <pageSetup paperSize="9" scale="10" orientation="landscape" horizontalDpi="4294967294" verticalDpi="4294967294"/>
  <extLst>
    <ext xmlns:mx="http://schemas.microsoft.com/office/mac/excel/2008/main" uri="{64002731-A6B0-56B0-2670-7721B7C09600}">
      <mx:PLV Mode="0" OnePage="0" WScale="11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K46"/>
  <sheetViews>
    <sheetView showGridLines="0" zoomScale="30" zoomScaleNormal="30" zoomScaleSheetLayoutView="40" zoomScalePageLayoutView="25" workbookViewId="0">
      <pane ySplit="6" topLeftCell="A7" activePane="bottomLeft" state="frozenSplit"/>
      <selection pane="bottomLeft"/>
    </sheetView>
  </sheetViews>
  <sheetFormatPr baseColWidth="10" defaultColWidth="10.6640625" defaultRowHeight="45" x14ac:dyDescent="0.15"/>
  <cols>
    <col min="1" max="1" width="15.5" style="103" customWidth="1"/>
    <col min="2" max="2" width="62.1640625" style="105" customWidth="1"/>
    <col min="3" max="3" width="24" style="105" customWidth="1"/>
    <col min="4" max="4" width="54.1640625" style="105" customWidth="1"/>
    <col min="5" max="5" width="18.33203125" style="105" customWidth="1"/>
    <col min="6" max="7" width="18" style="105" customWidth="1"/>
    <col min="8" max="8" width="18.33203125" style="70" customWidth="1"/>
    <col min="9" max="9" width="10.6640625" style="70" hidden="1" customWidth="1"/>
    <col min="10" max="10" width="48.33203125" style="105" customWidth="1"/>
    <col min="11" max="11" width="18" style="105" customWidth="1"/>
    <col min="12" max="12" width="18.33203125" style="105" customWidth="1"/>
    <col min="13" max="13" width="17.5" style="105" customWidth="1"/>
    <col min="14" max="14" width="16.83203125" style="70" customWidth="1"/>
    <col min="15" max="15" width="10.6640625" style="70" hidden="1" customWidth="1"/>
    <col min="16" max="16" width="62.1640625" style="105" customWidth="1"/>
    <col min="17" max="17" width="18.33203125" style="105" customWidth="1"/>
    <col min="18" max="18" width="15.6640625" style="105" customWidth="1"/>
    <col min="19" max="19" width="17.5" style="105" customWidth="1"/>
    <col min="20" max="20" width="16.5" style="70" customWidth="1"/>
    <col min="21" max="21" width="10.6640625" style="70" hidden="1" customWidth="1"/>
    <col min="22" max="22" width="63.1640625" style="105" customWidth="1"/>
    <col min="23" max="23" width="18.33203125" style="105" customWidth="1"/>
    <col min="24" max="24" width="17.5" style="105" customWidth="1"/>
    <col min="25" max="25" width="18.6640625" style="105" customWidth="1"/>
    <col min="26" max="26" width="16.83203125" style="70" customWidth="1"/>
    <col min="27" max="27" width="10.6640625" style="70" hidden="1" customWidth="1"/>
    <col min="28" max="28" width="49" style="105" customWidth="1"/>
    <col min="29" max="29" width="17.5" style="105" customWidth="1"/>
    <col min="30" max="30" width="14.6640625" style="105" customWidth="1"/>
    <col min="31" max="31" width="17.1640625" style="105" customWidth="1"/>
    <col min="32" max="32" width="16.5" style="70" customWidth="1"/>
    <col min="33" max="33" width="10.83203125" style="70" hidden="1" customWidth="1"/>
    <col min="34" max="34" width="29.1640625" style="70" customWidth="1"/>
    <col min="35" max="35" width="19.1640625" style="171" hidden="1" customWidth="1"/>
    <col min="36" max="36" width="23.5" style="104" customWidth="1"/>
    <col min="37" max="91" width="15.1640625" style="69" customWidth="1"/>
    <col min="92" max="16384" width="10.6640625" style="69"/>
  </cols>
  <sheetData>
    <row r="1" spans="1:37" ht="94" customHeight="1" x14ac:dyDescent="0.15">
      <c r="A1" s="193"/>
      <c r="B1" s="194"/>
      <c r="C1" s="194"/>
      <c r="D1" s="194"/>
      <c r="E1" s="194"/>
      <c r="F1" s="194"/>
      <c r="G1" s="194"/>
      <c r="H1" s="195"/>
      <c r="I1" s="195"/>
      <c r="J1" s="194"/>
      <c r="K1" s="194"/>
      <c r="L1" s="194"/>
      <c r="M1" s="194"/>
      <c r="N1" s="195"/>
      <c r="O1" s="195"/>
      <c r="P1" s="194"/>
      <c r="Q1" s="194"/>
      <c r="R1" s="194"/>
      <c r="S1" s="194"/>
      <c r="T1" s="195"/>
      <c r="U1" s="195"/>
      <c r="V1" s="194"/>
      <c r="W1" s="194"/>
      <c r="X1" s="194"/>
      <c r="Y1" s="194"/>
      <c r="Z1" s="195"/>
      <c r="AA1" s="195"/>
      <c r="AB1" s="194"/>
      <c r="AC1" s="194"/>
      <c r="AD1" s="194"/>
      <c r="AE1" s="194"/>
      <c r="AF1" s="195"/>
      <c r="AG1" s="195"/>
      <c r="AH1" s="195"/>
      <c r="AI1" s="196"/>
    </row>
    <row r="2" spans="1:37" ht="94" customHeight="1" x14ac:dyDescent="0.15">
      <c r="A2" s="193"/>
      <c r="B2" s="194"/>
      <c r="C2" s="194"/>
      <c r="D2" s="194"/>
      <c r="E2" s="194"/>
      <c r="F2" s="194"/>
      <c r="G2" s="194"/>
      <c r="H2" s="195"/>
      <c r="I2" s="195"/>
      <c r="J2" s="194"/>
      <c r="K2" s="194"/>
      <c r="L2" s="194"/>
      <c r="M2" s="194"/>
      <c r="N2" s="195"/>
      <c r="O2" s="195"/>
      <c r="P2" s="194"/>
      <c r="Q2" s="194"/>
      <c r="R2" s="194"/>
      <c r="S2" s="194"/>
      <c r="T2" s="195"/>
      <c r="U2" s="195"/>
      <c r="V2" s="194"/>
      <c r="W2" s="194"/>
      <c r="X2" s="194"/>
      <c r="Y2" s="194"/>
      <c r="Z2" s="195"/>
      <c r="AA2" s="195"/>
      <c r="AB2" s="194"/>
      <c r="AC2" s="194"/>
      <c r="AD2" s="194"/>
      <c r="AE2" s="194"/>
      <c r="AF2" s="195"/>
      <c r="AG2" s="195"/>
      <c r="AH2" s="195"/>
      <c r="AI2" s="196"/>
    </row>
    <row r="3" spans="1:37" ht="124" customHeight="1" x14ac:dyDescent="0.15">
      <c r="A3" s="238" t="str">
        <f>CONCATENATE("MATCH DE QUALIFICATION"," - ",INFO!B7," - ",INFO!B9)</f>
        <v xml:space="preserve">MATCH DE QUALIFICATION -  - 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</row>
    <row r="4" spans="1:37" ht="84" customHeight="1" thickBot="1" x14ac:dyDescent="0.2">
      <c r="A4" s="239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149"/>
    </row>
    <row r="5" spans="1:37" ht="30" customHeight="1" x14ac:dyDescent="0.15">
      <c r="A5" s="242" t="s">
        <v>46</v>
      </c>
      <c r="B5" s="248" t="s">
        <v>40</v>
      </c>
      <c r="C5" s="250" t="s">
        <v>45</v>
      </c>
      <c r="D5" s="228" t="s">
        <v>28</v>
      </c>
      <c r="E5" s="232" t="s">
        <v>50</v>
      </c>
      <c r="F5" s="233"/>
      <c r="G5" s="234"/>
      <c r="H5" s="244" t="s">
        <v>38</v>
      </c>
      <c r="I5" s="230" t="s">
        <v>49</v>
      </c>
      <c r="J5" s="228" t="s">
        <v>1</v>
      </c>
      <c r="K5" s="232" t="s">
        <v>50</v>
      </c>
      <c r="L5" s="233"/>
      <c r="M5" s="234"/>
      <c r="N5" s="244" t="s">
        <v>38</v>
      </c>
      <c r="O5" s="230" t="s">
        <v>49</v>
      </c>
      <c r="P5" s="228" t="s">
        <v>2</v>
      </c>
      <c r="Q5" s="232" t="s">
        <v>50</v>
      </c>
      <c r="R5" s="233"/>
      <c r="S5" s="234"/>
      <c r="T5" s="244" t="s">
        <v>38</v>
      </c>
      <c r="U5" s="230" t="s">
        <v>49</v>
      </c>
      <c r="V5" s="228" t="s">
        <v>3</v>
      </c>
      <c r="W5" s="232" t="s">
        <v>50</v>
      </c>
      <c r="X5" s="233"/>
      <c r="Y5" s="234"/>
      <c r="Z5" s="244" t="s">
        <v>38</v>
      </c>
      <c r="AA5" s="230" t="s">
        <v>49</v>
      </c>
      <c r="AB5" s="228" t="s">
        <v>4</v>
      </c>
      <c r="AC5" s="232" t="s">
        <v>50</v>
      </c>
      <c r="AD5" s="233"/>
      <c r="AE5" s="234"/>
      <c r="AF5" s="244" t="s">
        <v>38</v>
      </c>
      <c r="AG5" s="230" t="s">
        <v>49</v>
      </c>
      <c r="AH5" s="242" t="s">
        <v>41</v>
      </c>
      <c r="AI5" s="246" t="s">
        <v>52</v>
      </c>
      <c r="AJ5" s="240"/>
      <c r="AK5" s="150"/>
    </row>
    <row r="6" spans="1:37" ht="85" customHeight="1" x14ac:dyDescent="0.15">
      <c r="A6" s="243"/>
      <c r="B6" s="249"/>
      <c r="C6" s="251"/>
      <c r="D6" s="229"/>
      <c r="E6" s="235"/>
      <c r="F6" s="236"/>
      <c r="G6" s="237"/>
      <c r="H6" s="245"/>
      <c r="I6" s="231"/>
      <c r="J6" s="229"/>
      <c r="K6" s="235"/>
      <c r="L6" s="236"/>
      <c r="M6" s="237"/>
      <c r="N6" s="245"/>
      <c r="O6" s="231"/>
      <c r="P6" s="229"/>
      <c r="Q6" s="235"/>
      <c r="R6" s="236"/>
      <c r="S6" s="237"/>
      <c r="T6" s="245"/>
      <c r="U6" s="231"/>
      <c r="V6" s="229"/>
      <c r="W6" s="235"/>
      <c r="X6" s="236"/>
      <c r="Y6" s="237"/>
      <c r="Z6" s="245"/>
      <c r="AA6" s="231"/>
      <c r="AB6" s="229"/>
      <c r="AC6" s="235"/>
      <c r="AD6" s="236"/>
      <c r="AE6" s="237"/>
      <c r="AF6" s="245"/>
      <c r="AG6" s="231"/>
      <c r="AH6" s="243"/>
      <c r="AI6" s="247"/>
      <c r="AJ6" s="241"/>
    </row>
    <row r="7" spans="1:37" ht="153" customHeight="1" x14ac:dyDescent="0.15">
      <c r="A7" s="151">
        <v>1</v>
      </c>
      <c r="B7" s="152">
        <f>VLOOKUP(A7,saisie!B$7:AL$26,2,0)</f>
        <v>0</v>
      </c>
      <c r="C7" s="153">
        <f>VLOOKUP(A7,saisie!B$7:AL$26,3,0)</f>
        <v>0</v>
      </c>
      <c r="D7" s="154">
        <f>VLOOKUP(A7,saisie!B$7:AL$26,4,0)</f>
        <v>0</v>
      </c>
      <c r="E7" s="155">
        <f>VLOOKUP(A7,saisie!B$7:AL$26,5,0)</f>
        <v>0</v>
      </c>
      <c r="F7" s="155">
        <f>VLOOKUP(A7,saisie!B$7:AL$26,6,0)</f>
        <v>0</v>
      </c>
      <c r="G7" s="155">
        <f>VLOOKUP(A7,saisie!B$7:AL$26,7,0)</f>
        <v>0</v>
      </c>
      <c r="H7" s="156">
        <f>VLOOKUP(A7,saisie!B$7:AL$26,8,0)</f>
        <v>0</v>
      </c>
      <c r="I7" s="157">
        <f>VLOOKUP(A7,saisie!B$7:AL$26,9,0)</f>
        <v>0</v>
      </c>
      <c r="J7" s="154">
        <f>VLOOKUP(A7,saisie!B$7:AL$26,10,0)</f>
        <v>0</v>
      </c>
      <c r="K7" s="155">
        <f>VLOOKUP(A7,saisie!B$7:AL$26,11,0)</f>
        <v>0</v>
      </c>
      <c r="L7" s="155">
        <f>VLOOKUP(A7,saisie!B$7:AL$26,12,0)</f>
        <v>0</v>
      </c>
      <c r="M7" s="155">
        <f>VLOOKUP(A7,saisie!B$7:AL$26,13,0)</f>
        <v>0</v>
      </c>
      <c r="N7" s="156">
        <f>VLOOKUP(A7,saisie!B$7:AL$26,14,0)</f>
        <v>0</v>
      </c>
      <c r="O7" s="157">
        <f>VLOOKUP(A7,saisie!B$7:AL$26,15,0)</f>
        <v>0</v>
      </c>
      <c r="P7" s="154">
        <f>VLOOKUP(A7,saisie!B$7:AL$26,16,0)</f>
        <v>0</v>
      </c>
      <c r="Q7" s="155">
        <f>VLOOKUP(A7,saisie!B$7:AL$26,17,0)</f>
        <v>0</v>
      </c>
      <c r="R7" s="155">
        <f>VLOOKUP(A7,saisie!B$7:AL$26,18,0)</f>
        <v>0</v>
      </c>
      <c r="S7" s="155">
        <f>VLOOKUP(A7,saisie!B$7:AL$26,19,0)</f>
        <v>0</v>
      </c>
      <c r="T7" s="156">
        <f>VLOOKUP(A7,saisie!B$7:AL$26,20,0)</f>
        <v>0</v>
      </c>
      <c r="U7" s="157">
        <f>VLOOKUP(A7,saisie!B$7:AL$26,21,0)</f>
        <v>0</v>
      </c>
      <c r="V7" s="154">
        <f>VLOOKUP(A7,saisie!B$7:AL$26,22,0)</f>
        <v>0</v>
      </c>
      <c r="W7" s="155">
        <f>VLOOKUP(A7,saisie!B$7:AL$26,23,0)</f>
        <v>0</v>
      </c>
      <c r="X7" s="155">
        <f>VLOOKUP(A7,saisie!B$7:AL$26,24,0)</f>
        <v>0</v>
      </c>
      <c r="Y7" s="155">
        <f>VLOOKUP(A7,saisie!B$7:AL$26,25,0)</f>
        <v>0</v>
      </c>
      <c r="Z7" s="156">
        <f>VLOOKUP(A7,saisie!B$7:AL$26,26,0)</f>
        <v>0</v>
      </c>
      <c r="AA7" s="157">
        <f>VLOOKUP(A7,saisie!B$7:AL$26,27,0)</f>
        <v>0</v>
      </c>
      <c r="AB7" s="154">
        <f>VLOOKUP(A7,saisie!B$7:AL$26,28,0)</f>
        <v>0</v>
      </c>
      <c r="AC7" s="155">
        <f>VLOOKUP(A7,saisie!B$7:AL$26,29,0)</f>
        <v>0</v>
      </c>
      <c r="AD7" s="155">
        <f>VLOOKUP(A7,saisie!B$7:AL$26,30,0)</f>
        <v>0</v>
      </c>
      <c r="AE7" s="155">
        <f>VLOOKUP(A7,saisie!B$7:AL$26,31,0)</f>
        <v>0</v>
      </c>
      <c r="AF7" s="156">
        <f>VLOOKUP(A7,saisie!B$7:AL$26,32,0)</f>
        <v>0</v>
      </c>
      <c r="AG7" s="157">
        <f>VLOOKUP(A7,saisie!B$7:AL$26,33,0)</f>
        <v>0</v>
      </c>
      <c r="AH7" s="151">
        <f>VLOOKUP(A7,saisie!B$7:AL$26,34,0)</f>
        <v>0</v>
      </c>
      <c r="AI7" s="158">
        <f>VLOOKUP(A7,saisie!B$7:AL$26,35,0)</f>
        <v>0</v>
      </c>
      <c r="AJ7" s="159"/>
    </row>
    <row r="8" spans="1:37" ht="153" customHeight="1" x14ac:dyDescent="0.15">
      <c r="A8" s="151" t="str">
        <f>IF(INFO!B8&gt;1,2,"")</f>
        <v/>
      </c>
      <c r="B8" s="152" t="e">
        <f>VLOOKUP(A8,saisie!B$7:AL$26,2,0)</f>
        <v>#N/A</v>
      </c>
      <c r="C8" s="153" t="e">
        <f>VLOOKUP(A8,saisie!B$7:AL$26,3,0)</f>
        <v>#N/A</v>
      </c>
      <c r="D8" s="154" t="e">
        <f>VLOOKUP(A8,saisie!B$7:AL$26,4,0)</f>
        <v>#N/A</v>
      </c>
      <c r="E8" s="155" t="e">
        <f>VLOOKUP(A8,saisie!B$7:AL$26,5,0)</f>
        <v>#N/A</v>
      </c>
      <c r="F8" s="155" t="e">
        <f>VLOOKUP(A8,saisie!B$7:AL$26,6,0)</f>
        <v>#N/A</v>
      </c>
      <c r="G8" s="155" t="e">
        <f>VLOOKUP(A8,saisie!B$7:AL$26,7,0)</f>
        <v>#N/A</v>
      </c>
      <c r="H8" s="156" t="e">
        <f>VLOOKUP(A8,saisie!B$7:AL$26,8,0)</f>
        <v>#N/A</v>
      </c>
      <c r="I8" s="157" t="e">
        <f>VLOOKUP(A8,saisie!B$7:AL$26,9,0)</f>
        <v>#N/A</v>
      </c>
      <c r="J8" s="154" t="e">
        <f>VLOOKUP(A8,saisie!B$7:AL$26,10,0)</f>
        <v>#N/A</v>
      </c>
      <c r="K8" s="155" t="e">
        <f>VLOOKUP(A8,saisie!B$7:AL$26,11,0)</f>
        <v>#N/A</v>
      </c>
      <c r="L8" s="155" t="e">
        <f>VLOOKUP(A8,saisie!B$7:AL$26,12,0)</f>
        <v>#N/A</v>
      </c>
      <c r="M8" s="155" t="e">
        <f>VLOOKUP(A8,saisie!B$7:AL$26,13,0)</f>
        <v>#N/A</v>
      </c>
      <c r="N8" s="156" t="e">
        <f>VLOOKUP(A8,saisie!B$7:AL$26,14,0)</f>
        <v>#N/A</v>
      </c>
      <c r="O8" s="157" t="e">
        <f>VLOOKUP(A8,saisie!B$7:AL$26,15,0)</f>
        <v>#N/A</v>
      </c>
      <c r="P8" s="154" t="e">
        <f>VLOOKUP(A8,saisie!B$7:AL$26,16,0)</f>
        <v>#N/A</v>
      </c>
      <c r="Q8" s="155" t="e">
        <f>VLOOKUP(A8,saisie!B$7:AL$26,17,0)</f>
        <v>#N/A</v>
      </c>
      <c r="R8" s="155" t="e">
        <f>VLOOKUP(A8,saisie!B$7:AL$26,18,0)</f>
        <v>#N/A</v>
      </c>
      <c r="S8" s="155" t="e">
        <f>VLOOKUP(A8,saisie!B$7:AL$26,19,0)</f>
        <v>#N/A</v>
      </c>
      <c r="T8" s="156" t="e">
        <f>VLOOKUP(A8,saisie!B$7:AL$26,20,0)</f>
        <v>#N/A</v>
      </c>
      <c r="U8" s="157" t="e">
        <f>VLOOKUP(A8,saisie!B$7:AL$26,21,0)</f>
        <v>#N/A</v>
      </c>
      <c r="V8" s="154" t="e">
        <f>VLOOKUP(A8,saisie!B$7:AL$26,22,0)</f>
        <v>#N/A</v>
      </c>
      <c r="W8" s="155" t="e">
        <f>VLOOKUP(A8,saisie!B$7:AL$26,23,0)</f>
        <v>#N/A</v>
      </c>
      <c r="X8" s="155" t="e">
        <f>VLOOKUP(A8,saisie!B$7:AL$26,24,0)</f>
        <v>#N/A</v>
      </c>
      <c r="Y8" s="155" t="e">
        <f>VLOOKUP(A8,saisie!B$7:AL$26,25,0)</f>
        <v>#N/A</v>
      </c>
      <c r="Z8" s="156" t="e">
        <f>VLOOKUP(A8,saisie!B$7:AL$26,26,0)</f>
        <v>#N/A</v>
      </c>
      <c r="AA8" s="157" t="e">
        <f>VLOOKUP(A8,saisie!B$7:AL$26,27,0)</f>
        <v>#N/A</v>
      </c>
      <c r="AB8" s="154" t="e">
        <f>VLOOKUP(A8,saisie!B$7:AL$26,28,0)</f>
        <v>#N/A</v>
      </c>
      <c r="AC8" s="155" t="e">
        <f>VLOOKUP(A8,saisie!B$7:AL$26,29,0)</f>
        <v>#N/A</v>
      </c>
      <c r="AD8" s="155" t="e">
        <f>VLOOKUP(A8,saisie!B$7:AL$26,30,0)</f>
        <v>#N/A</v>
      </c>
      <c r="AE8" s="155" t="e">
        <f>VLOOKUP(A8,saisie!B$7:AL$26,31,0)</f>
        <v>#N/A</v>
      </c>
      <c r="AF8" s="156" t="e">
        <f>VLOOKUP(A8,saisie!B$7:AL$26,32,0)</f>
        <v>#N/A</v>
      </c>
      <c r="AG8" s="157" t="e">
        <f>VLOOKUP(A8,saisie!B$7:AL$26,33,0)</f>
        <v>#N/A</v>
      </c>
      <c r="AH8" s="151" t="e">
        <f>VLOOKUP(A8,saisie!B$7:AL$26,34,0)</f>
        <v>#N/A</v>
      </c>
      <c r="AI8" s="158" t="e">
        <f>VLOOKUP(A8,saisie!B$7:AL$26,35,0)</f>
        <v>#N/A</v>
      </c>
      <c r="AJ8" s="159"/>
    </row>
    <row r="9" spans="1:37" ht="153" customHeight="1" x14ac:dyDescent="0.15">
      <c r="A9" s="151" t="str">
        <f>IF(INFO!B8&gt;2,3,"")</f>
        <v/>
      </c>
      <c r="B9" s="152" t="e">
        <f>VLOOKUP(A9,saisie!B$7:AL$26,2,0)</f>
        <v>#N/A</v>
      </c>
      <c r="C9" s="153" t="e">
        <f>VLOOKUP(A9,saisie!B$7:AL$26,3,0)</f>
        <v>#N/A</v>
      </c>
      <c r="D9" s="154" t="e">
        <f>VLOOKUP(A9,saisie!B$7:AL$26,4,0)</f>
        <v>#N/A</v>
      </c>
      <c r="E9" s="155" t="e">
        <f>VLOOKUP(A9,saisie!B$7:AL$26,5,0)</f>
        <v>#N/A</v>
      </c>
      <c r="F9" s="155" t="e">
        <f>VLOOKUP(A9,saisie!B$7:AL$26,6,0)</f>
        <v>#N/A</v>
      </c>
      <c r="G9" s="155" t="e">
        <f>VLOOKUP(A9,saisie!B$7:AL$26,7,0)</f>
        <v>#N/A</v>
      </c>
      <c r="H9" s="156" t="e">
        <f>VLOOKUP(A9,saisie!B$7:AL$26,8,0)</f>
        <v>#N/A</v>
      </c>
      <c r="I9" s="157" t="e">
        <f>VLOOKUP(A9,saisie!B$7:AL$26,9,0)</f>
        <v>#N/A</v>
      </c>
      <c r="J9" s="154" t="e">
        <f>VLOOKUP(A9,saisie!B$7:AL$26,10,0)</f>
        <v>#N/A</v>
      </c>
      <c r="K9" s="155" t="e">
        <f>VLOOKUP(A9,saisie!B$7:AL$26,11,0)</f>
        <v>#N/A</v>
      </c>
      <c r="L9" s="155" t="e">
        <f>VLOOKUP(A9,saisie!B$7:AL$26,12,0)</f>
        <v>#N/A</v>
      </c>
      <c r="M9" s="155" t="e">
        <f>VLOOKUP(A9,saisie!B$7:AL$26,13,0)</f>
        <v>#N/A</v>
      </c>
      <c r="N9" s="156" t="e">
        <f>VLOOKUP(A9,saisie!B$7:AL$26,14,0)</f>
        <v>#N/A</v>
      </c>
      <c r="O9" s="157" t="e">
        <f>VLOOKUP(A9,saisie!B$7:AL$26,15,0)</f>
        <v>#N/A</v>
      </c>
      <c r="P9" s="154" t="e">
        <f>VLOOKUP(A9,saisie!B$7:AL$26,16,0)</f>
        <v>#N/A</v>
      </c>
      <c r="Q9" s="155" t="e">
        <f>VLOOKUP(A9,saisie!B$7:AL$26,17,0)</f>
        <v>#N/A</v>
      </c>
      <c r="R9" s="155" t="e">
        <f>VLOOKUP(A9,saisie!B$7:AL$26,18,0)</f>
        <v>#N/A</v>
      </c>
      <c r="S9" s="155" t="e">
        <f>VLOOKUP(A9,saisie!B$7:AL$26,19,0)</f>
        <v>#N/A</v>
      </c>
      <c r="T9" s="156" t="e">
        <f>VLOOKUP(A9,saisie!B$7:AL$26,20,0)</f>
        <v>#N/A</v>
      </c>
      <c r="U9" s="157" t="e">
        <f>VLOOKUP(A9,saisie!B$7:AL$26,21,0)</f>
        <v>#N/A</v>
      </c>
      <c r="V9" s="154" t="e">
        <f>VLOOKUP(A9,saisie!B$7:AL$26,22,0)</f>
        <v>#N/A</v>
      </c>
      <c r="W9" s="155" t="e">
        <f>VLOOKUP(A9,saisie!B$7:AL$26,23,0)</f>
        <v>#N/A</v>
      </c>
      <c r="X9" s="155" t="e">
        <f>VLOOKUP(A9,saisie!B$7:AL$26,24,0)</f>
        <v>#N/A</v>
      </c>
      <c r="Y9" s="155" t="e">
        <f>VLOOKUP(A9,saisie!B$7:AL$26,25,0)</f>
        <v>#N/A</v>
      </c>
      <c r="Z9" s="156" t="e">
        <f>VLOOKUP(A9,saisie!B$7:AL$26,26,0)</f>
        <v>#N/A</v>
      </c>
      <c r="AA9" s="157" t="e">
        <f>VLOOKUP(A9,saisie!B$7:AL$26,27,0)</f>
        <v>#N/A</v>
      </c>
      <c r="AB9" s="154" t="e">
        <f>VLOOKUP(A9,saisie!B$7:AL$26,28,0)</f>
        <v>#N/A</v>
      </c>
      <c r="AC9" s="155" t="e">
        <f>VLOOKUP(A9,saisie!B$7:AL$26,29,0)</f>
        <v>#N/A</v>
      </c>
      <c r="AD9" s="155" t="e">
        <f>VLOOKUP(A9,saisie!B$7:AL$26,30,0)</f>
        <v>#N/A</v>
      </c>
      <c r="AE9" s="155" t="e">
        <f>VLOOKUP(A9,saisie!B$7:AL$26,31,0)</f>
        <v>#N/A</v>
      </c>
      <c r="AF9" s="156" t="e">
        <f>VLOOKUP(A9,saisie!B$7:AL$26,32,0)</f>
        <v>#N/A</v>
      </c>
      <c r="AG9" s="157" t="e">
        <f>VLOOKUP(A9,saisie!B$7:AL$26,33,0)</f>
        <v>#N/A</v>
      </c>
      <c r="AH9" s="151" t="e">
        <f>VLOOKUP(A9,saisie!B$7:AL$26,34,0)</f>
        <v>#N/A</v>
      </c>
      <c r="AI9" s="158" t="e">
        <f>VLOOKUP(A9,saisie!B$7:AL$26,35,0)</f>
        <v>#N/A</v>
      </c>
      <c r="AJ9" s="159"/>
    </row>
    <row r="10" spans="1:37" ht="153" customHeight="1" x14ac:dyDescent="0.15">
      <c r="A10" s="151" t="str">
        <f>IF(INFO!B8&gt;3,4,"")</f>
        <v/>
      </c>
      <c r="B10" s="152" t="e">
        <f>VLOOKUP(A10,saisie!B$7:AL$26,2,0)</f>
        <v>#N/A</v>
      </c>
      <c r="C10" s="153" t="e">
        <f>VLOOKUP(A10,saisie!B$7:AL$26,3,0)</f>
        <v>#N/A</v>
      </c>
      <c r="D10" s="154" t="e">
        <f>VLOOKUP(A10,saisie!B$7:AL$26,4,0)</f>
        <v>#N/A</v>
      </c>
      <c r="E10" s="155" t="e">
        <f>VLOOKUP(A10,saisie!B$7:AL$26,5,0)</f>
        <v>#N/A</v>
      </c>
      <c r="F10" s="155" t="e">
        <f>VLOOKUP(A10,saisie!B$7:AL$26,6,0)</f>
        <v>#N/A</v>
      </c>
      <c r="G10" s="155" t="e">
        <f>VLOOKUP(A10,saisie!B$7:AL$26,7,0)</f>
        <v>#N/A</v>
      </c>
      <c r="H10" s="156" t="e">
        <f>VLOOKUP(A10,saisie!B$7:AL$26,8,0)</f>
        <v>#N/A</v>
      </c>
      <c r="I10" s="157" t="e">
        <f>VLOOKUP(A10,saisie!B$7:AL$26,9,0)</f>
        <v>#N/A</v>
      </c>
      <c r="J10" s="154" t="e">
        <f>VLOOKUP(A10,saisie!B$7:AL$26,10,0)</f>
        <v>#N/A</v>
      </c>
      <c r="K10" s="155" t="e">
        <f>VLOOKUP(A10,saisie!B$7:AL$26,11,0)</f>
        <v>#N/A</v>
      </c>
      <c r="L10" s="155" t="e">
        <f>VLOOKUP(A10,saisie!B$7:AL$26,12,0)</f>
        <v>#N/A</v>
      </c>
      <c r="M10" s="155" t="e">
        <f>VLOOKUP(A10,saisie!B$7:AL$26,13,0)</f>
        <v>#N/A</v>
      </c>
      <c r="N10" s="156" t="e">
        <f>VLOOKUP(A10,saisie!B$7:AL$26,14,0)</f>
        <v>#N/A</v>
      </c>
      <c r="O10" s="157" t="e">
        <f>VLOOKUP(A10,saisie!B$7:AL$26,15,0)</f>
        <v>#N/A</v>
      </c>
      <c r="P10" s="154" t="e">
        <f>VLOOKUP(A10,saisie!B$7:AL$26,16,0)</f>
        <v>#N/A</v>
      </c>
      <c r="Q10" s="155" t="e">
        <f>VLOOKUP(A10,saisie!B$7:AL$26,17,0)</f>
        <v>#N/A</v>
      </c>
      <c r="R10" s="155" t="e">
        <f>VLOOKUP(A10,saisie!B$7:AL$26,18,0)</f>
        <v>#N/A</v>
      </c>
      <c r="S10" s="155" t="e">
        <f>VLOOKUP(A10,saisie!B$7:AL$26,19,0)</f>
        <v>#N/A</v>
      </c>
      <c r="T10" s="156" t="e">
        <f>VLOOKUP(A10,saisie!B$7:AL$26,20,0)</f>
        <v>#N/A</v>
      </c>
      <c r="U10" s="157" t="e">
        <f>VLOOKUP(A10,saisie!B$7:AL$26,21,0)</f>
        <v>#N/A</v>
      </c>
      <c r="V10" s="154" t="e">
        <f>VLOOKUP(A10,saisie!B$7:AL$26,22,0)</f>
        <v>#N/A</v>
      </c>
      <c r="W10" s="155" t="e">
        <f>VLOOKUP(A10,saisie!B$7:AL$26,23,0)</f>
        <v>#N/A</v>
      </c>
      <c r="X10" s="155" t="e">
        <f>VLOOKUP(A10,saisie!B$7:AL$26,24,0)</f>
        <v>#N/A</v>
      </c>
      <c r="Y10" s="155" t="e">
        <f>VLOOKUP(A10,saisie!B$7:AL$26,25,0)</f>
        <v>#N/A</v>
      </c>
      <c r="Z10" s="156" t="e">
        <f>VLOOKUP(A10,saisie!B$7:AL$26,26,0)</f>
        <v>#N/A</v>
      </c>
      <c r="AA10" s="157" t="e">
        <f>VLOOKUP(A10,saisie!B$7:AL$26,27,0)</f>
        <v>#N/A</v>
      </c>
      <c r="AB10" s="154" t="e">
        <f>VLOOKUP(A10,saisie!B$7:AL$26,28,0)</f>
        <v>#N/A</v>
      </c>
      <c r="AC10" s="155" t="e">
        <f>VLOOKUP(A10,saisie!B$7:AL$26,29,0)</f>
        <v>#N/A</v>
      </c>
      <c r="AD10" s="155" t="e">
        <f>VLOOKUP(A10,saisie!B$7:AL$26,30,0)</f>
        <v>#N/A</v>
      </c>
      <c r="AE10" s="155" t="e">
        <f>VLOOKUP(A10,saisie!B$7:AL$26,31,0)</f>
        <v>#N/A</v>
      </c>
      <c r="AF10" s="156" t="e">
        <f>VLOOKUP(A10,saisie!B$7:AL$26,32,0)</f>
        <v>#N/A</v>
      </c>
      <c r="AG10" s="157" t="e">
        <f>VLOOKUP(A10,saisie!B$7:AL$26,33,0)</f>
        <v>#N/A</v>
      </c>
      <c r="AH10" s="151" t="e">
        <f>VLOOKUP(A10,saisie!B$7:AL$26,34,0)</f>
        <v>#N/A</v>
      </c>
      <c r="AI10" s="158" t="e">
        <f>VLOOKUP(A10,saisie!B$7:AL$26,35,0)</f>
        <v>#N/A</v>
      </c>
      <c r="AJ10" s="159"/>
    </row>
    <row r="11" spans="1:37" ht="153" customHeight="1" x14ac:dyDescent="0.15">
      <c r="A11" s="151" t="str">
        <f>IF(INFO!B8&gt;4,5,"")</f>
        <v/>
      </c>
      <c r="B11" s="152" t="e">
        <f>VLOOKUP(A11,saisie!B$7:AL$26,2,0)</f>
        <v>#N/A</v>
      </c>
      <c r="C11" s="153" t="e">
        <f>VLOOKUP(A11,saisie!B$7:AL$26,3,0)</f>
        <v>#N/A</v>
      </c>
      <c r="D11" s="154" t="e">
        <f>VLOOKUP(A11,saisie!B$7:AL$26,4,0)</f>
        <v>#N/A</v>
      </c>
      <c r="E11" s="155" t="e">
        <f>VLOOKUP(A11,saisie!B$7:AL$26,5,0)</f>
        <v>#N/A</v>
      </c>
      <c r="F11" s="155" t="e">
        <f>VLOOKUP(A11,saisie!B$7:AL$26,6,0)</f>
        <v>#N/A</v>
      </c>
      <c r="G11" s="155" t="e">
        <f>VLOOKUP(A11,saisie!B$7:AL$26,7,0)</f>
        <v>#N/A</v>
      </c>
      <c r="H11" s="156" t="e">
        <f>VLOOKUP(A11,saisie!B$7:AL$26,8,0)</f>
        <v>#N/A</v>
      </c>
      <c r="I11" s="157" t="e">
        <f>VLOOKUP(A11,saisie!B$7:AL$26,9,0)</f>
        <v>#N/A</v>
      </c>
      <c r="J11" s="154" t="e">
        <f>VLOOKUP(A11,saisie!B$7:AL$26,10,0)</f>
        <v>#N/A</v>
      </c>
      <c r="K11" s="155" t="e">
        <f>VLOOKUP(A11,saisie!B$7:AL$26,11,0)</f>
        <v>#N/A</v>
      </c>
      <c r="L11" s="155" t="e">
        <f>VLOOKUP(A11,saisie!B$7:AL$26,12,0)</f>
        <v>#N/A</v>
      </c>
      <c r="M11" s="155" t="e">
        <f>VLOOKUP(A11,saisie!B$7:AL$26,13,0)</f>
        <v>#N/A</v>
      </c>
      <c r="N11" s="156" t="e">
        <f>VLOOKUP(A11,saisie!B$7:AL$26,14,0)</f>
        <v>#N/A</v>
      </c>
      <c r="O11" s="157" t="e">
        <f>VLOOKUP(A11,saisie!B$7:AL$26,15,0)</f>
        <v>#N/A</v>
      </c>
      <c r="P11" s="154" t="e">
        <f>VLOOKUP(A11,saisie!B$7:AL$26,16,0)</f>
        <v>#N/A</v>
      </c>
      <c r="Q11" s="155" t="e">
        <f>VLOOKUP(A11,saisie!B$7:AL$26,17,0)</f>
        <v>#N/A</v>
      </c>
      <c r="R11" s="155" t="e">
        <f>VLOOKUP(A11,saisie!B$7:AL$26,18,0)</f>
        <v>#N/A</v>
      </c>
      <c r="S11" s="155" t="e">
        <f>VLOOKUP(A11,saisie!B$7:AL$26,19,0)</f>
        <v>#N/A</v>
      </c>
      <c r="T11" s="156" t="e">
        <f>VLOOKUP(A11,saisie!B$7:AL$26,20,0)</f>
        <v>#N/A</v>
      </c>
      <c r="U11" s="157" t="e">
        <f>VLOOKUP(A11,saisie!B$7:AL$26,21,0)</f>
        <v>#N/A</v>
      </c>
      <c r="V11" s="154" t="e">
        <f>VLOOKUP(A11,saisie!B$7:AL$26,22,0)</f>
        <v>#N/A</v>
      </c>
      <c r="W11" s="155" t="e">
        <f>VLOOKUP(A11,saisie!B$7:AL$26,23,0)</f>
        <v>#N/A</v>
      </c>
      <c r="X11" s="155" t="e">
        <f>VLOOKUP(A11,saisie!B$7:AL$26,24,0)</f>
        <v>#N/A</v>
      </c>
      <c r="Y11" s="155" t="e">
        <f>VLOOKUP(A11,saisie!B$7:AL$26,25,0)</f>
        <v>#N/A</v>
      </c>
      <c r="Z11" s="156" t="e">
        <f>VLOOKUP(A11,saisie!B$7:AL$26,26,0)</f>
        <v>#N/A</v>
      </c>
      <c r="AA11" s="157" t="e">
        <f>VLOOKUP(A11,saisie!B$7:AL$26,27,0)</f>
        <v>#N/A</v>
      </c>
      <c r="AB11" s="154" t="e">
        <f>VLOOKUP(A11,saisie!B$7:AL$26,28,0)</f>
        <v>#N/A</v>
      </c>
      <c r="AC11" s="155" t="e">
        <f>VLOOKUP(A11,saisie!B$7:AL$26,29,0)</f>
        <v>#N/A</v>
      </c>
      <c r="AD11" s="155" t="e">
        <f>VLOOKUP(A11,saisie!B$7:AL$26,30,0)</f>
        <v>#N/A</v>
      </c>
      <c r="AE11" s="155" t="e">
        <f>VLOOKUP(A11,saisie!B$7:AL$26,31,0)</f>
        <v>#N/A</v>
      </c>
      <c r="AF11" s="156" t="e">
        <f>VLOOKUP(A11,saisie!B$7:AL$26,32,0)</f>
        <v>#N/A</v>
      </c>
      <c r="AG11" s="157" t="e">
        <f>VLOOKUP(A11,saisie!B$7:AL$26,33,0)</f>
        <v>#N/A</v>
      </c>
      <c r="AH11" s="151" t="e">
        <f>VLOOKUP(A11,saisie!B$7:AL$26,34,0)</f>
        <v>#N/A</v>
      </c>
      <c r="AI11" s="158" t="e">
        <f>VLOOKUP(A11,saisie!B$7:AL$26,35,0)</f>
        <v>#N/A</v>
      </c>
      <c r="AJ11" s="159"/>
    </row>
    <row r="12" spans="1:37" ht="153" customHeight="1" x14ac:dyDescent="0.15">
      <c r="A12" s="151" t="str">
        <f>IF(INFO!B8&gt;5,6,"")</f>
        <v/>
      </c>
      <c r="B12" s="152" t="e">
        <f>VLOOKUP(A12,saisie!B$7:AL$26,2,0)</f>
        <v>#N/A</v>
      </c>
      <c r="C12" s="153" t="e">
        <f>VLOOKUP(A12,saisie!B$7:AL$26,3,0)</f>
        <v>#N/A</v>
      </c>
      <c r="D12" s="154" t="e">
        <f>VLOOKUP(A12,saisie!B$7:AL$26,4,0)</f>
        <v>#N/A</v>
      </c>
      <c r="E12" s="155" t="e">
        <f>VLOOKUP(A12,saisie!B$7:AL$26,5,0)</f>
        <v>#N/A</v>
      </c>
      <c r="F12" s="155" t="e">
        <f>VLOOKUP(A12,saisie!B$7:AL$26,6,0)</f>
        <v>#N/A</v>
      </c>
      <c r="G12" s="155" t="e">
        <f>VLOOKUP(A12,saisie!B$7:AL$26,7,0)</f>
        <v>#N/A</v>
      </c>
      <c r="H12" s="156" t="e">
        <f>VLOOKUP(A12,saisie!B$7:AL$26,8,0)</f>
        <v>#N/A</v>
      </c>
      <c r="I12" s="157" t="e">
        <f>VLOOKUP(A12,saisie!B$7:AL$26,9,0)</f>
        <v>#N/A</v>
      </c>
      <c r="J12" s="154" t="e">
        <f>VLOOKUP(A12,saisie!B$7:AL$26,10,0)</f>
        <v>#N/A</v>
      </c>
      <c r="K12" s="155" t="e">
        <f>VLOOKUP(A12,saisie!B$7:AL$26,11,0)</f>
        <v>#N/A</v>
      </c>
      <c r="L12" s="155" t="e">
        <f>VLOOKUP(A12,saisie!B$7:AL$26,12,0)</f>
        <v>#N/A</v>
      </c>
      <c r="M12" s="155" t="e">
        <f>VLOOKUP(A12,saisie!B$7:AL$26,13,0)</f>
        <v>#N/A</v>
      </c>
      <c r="N12" s="156" t="e">
        <f>VLOOKUP(A12,saisie!B$7:AL$26,14,0)</f>
        <v>#N/A</v>
      </c>
      <c r="O12" s="157" t="e">
        <f>VLOOKUP(A12,saisie!B$7:AL$26,15,0)</f>
        <v>#N/A</v>
      </c>
      <c r="P12" s="154" t="e">
        <f>VLOOKUP(A12,saisie!B$7:AL$26,16,0)</f>
        <v>#N/A</v>
      </c>
      <c r="Q12" s="155" t="e">
        <f>VLOOKUP(A12,saisie!B$7:AL$26,17,0)</f>
        <v>#N/A</v>
      </c>
      <c r="R12" s="155" t="e">
        <f>VLOOKUP(A12,saisie!B$7:AL$26,18,0)</f>
        <v>#N/A</v>
      </c>
      <c r="S12" s="155" t="e">
        <f>VLOOKUP(A12,saisie!B$7:AL$26,19,0)</f>
        <v>#N/A</v>
      </c>
      <c r="T12" s="156" t="e">
        <f>VLOOKUP(A12,saisie!B$7:AL$26,20,0)</f>
        <v>#N/A</v>
      </c>
      <c r="U12" s="157" t="e">
        <f>VLOOKUP(A12,saisie!B$7:AL$26,21,0)</f>
        <v>#N/A</v>
      </c>
      <c r="V12" s="154" t="e">
        <f>VLOOKUP(A12,saisie!B$7:AL$26,22,0)</f>
        <v>#N/A</v>
      </c>
      <c r="W12" s="155" t="e">
        <f>VLOOKUP(A12,saisie!B$7:AL$26,23,0)</f>
        <v>#N/A</v>
      </c>
      <c r="X12" s="155" t="e">
        <f>VLOOKUP(A12,saisie!B$7:AL$26,24,0)</f>
        <v>#N/A</v>
      </c>
      <c r="Y12" s="155" t="e">
        <f>VLOOKUP(A12,saisie!B$7:AL$26,25,0)</f>
        <v>#N/A</v>
      </c>
      <c r="Z12" s="156" t="e">
        <f>VLOOKUP(A12,saisie!B$7:AL$26,26,0)</f>
        <v>#N/A</v>
      </c>
      <c r="AA12" s="157" t="e">
        <f>VLOOKUP(A12,saisie!B$7:AL$26,27,0)</f>
        <v>#N/A</v>
      </c>
      <c r="AB12" s="154" t="e">
        <f>VLOOKUP(A12,saisie!B$7:AL$26,28,0)</f>
        <v>#N/A</v>
      </c>
      <c r="AC12" s="155" t="e">
        <f>VLOOKUP(A12,saisie!B$7:AL$26,29,0)</f>
        <v>#N/A</v>
      </c>
      <c r="AD12" s="155" t="e">
        <f>VLOOKUP(A12,saisie!B$7:AL$26,30,0)</f>
        <v>#N/A</v>
      </c>
      <c r="AE12" s="155" t="e">
        <f>VLOOKUP(A12,saisie!B$7:AL$26,31,0)</f>
        <v>#N/A</v>
      </c>
      <c r="AF12" s="156" t="e">
        <f>VLOOKUP(A12,saisie!B$7:AL$26,32,0)</f>
        <v>#N/A</v>
      </c>
      <c r="AG12" s="157" t="e">
        <f>VLOOKUP(A12,saisie!B$7:AL$26,33,0)</f>
        <v>#N/A</v>
      </c>
      <c r="AH12" s="151" t="e">
        <f>VLOOKUP(A12,saisie!B$7:AL$26,34,0)</f>
        <v>#N/A</v>
      </c>
      <c r="AI12" s="158" t="e">
        <f>VLOOKUP(A12,saisie!B$7:AL$26,35,0)</f>
        <v>#N/A</v>
      </c>
      <c r="AJ12" s="159"/>
    </row>
    <row r="13" spans="1:37" ht="153" customHeight="1" x14ac:dyDescent="0.15">
      <c r="A13" s="151" t="str">
        <f>IF(INFO!B8&gt;6,7,"")</f>
        <v/>
      </c>
      <c r="B13" s="152" t="e">
        <f>VLOOKUP(A13,saisie!B$7:AL$26,2,0)</f>
        <v>#N/A</v>
      </c>
      <c r="C13" s="153" t="e">
        <f>VLOOKUP(A13,saisie!B$7:AL$26,3,0)</f>
        <v>#N/A</v>
      </c>
      <c r="D13" s="154" t="e">
        <f>VLOOKUP(A13,saisie!B$7:AL$26,4,0)</f>
        <v>#N/A</v>
      </c>
      <c r="E13" s="155" t="e">
        <f>VLOOKUP(A13,saisie!B$7:AL$26,5,0)</f>
        <v>#N/A</v>
      </c>
      <c r="F13" s="155" t="e">
        <f>VLOOKUP(A13,saisie!B$7:AL$26,6,0)</f>
        <v>#N/A</v>
      </c>
      <c r="G13" s="155" t="e">
        <f>VLOOKUP(A13,saisie!B$7:AL$26,7,0)</f>
        <v>#N/A</v>
      </c>
      <c r="H13" s="156" t="e">
        <f>VLOOKUP(A13,saisie!B$7:AL$26,8,0)</f>
        <v>#N/A</v>
      </c>
      <c r="I13" s="157" t="e">
        <f>VLOOKUP(A13,saisie!B$7:AL$26,9,0)</f>
        <v>#N/A</v>
      </c>
      <c r="J13" s="154" t="e">
        <f>VLOOKUP(A13,saisie!B$7:AL$26,10,0)</f>
        <v>#N/A</v>
      </c>
      <c r="K13" s="155" t="e">
        <f>VLOOKUP(A13,saisie!B$7:AL$26,11,0)</f>
        <v>#N/A</v>
      </c>
      <c r="L13" s="155" t="e">
        <f>VLOOKUP(A13,saisie!B$7:AL$26,12,0)</f>
        <v>#N/A</v>
      </c>
      <c r="M13" s="155" t="e">
        <f>VLOOKUP(A13,saisie!B$7:AL$26,13,0)</f>
        <v>#N/A</v>
      </c>
      <c r="N13" s="156" t="e">
        <f>VLOOKUP(A13,saisie!B$7:AL$26,14,0)</f>
        <v>#N/A</v>
      </c>
      <c r="O13" s="157" t="e">
        <f>VLOOKUP(A13,saisie!B$7:AL$26,15,0)</f>
        <v>#N/A</v>
      </c>
      <c r="P13" s="154" t="e">
        <f>VLOOKUP(A13,saisie!B$7:AL$26,16,0)</f>
        <v>#N/A</v>
      </c>
      <c r="Q13" s="155" t="e">
        <f>VLOOKUP(A13,saisie!B$7:AL$26,17,0)</f>
        <v>#N/A</v>
      </c>
      <c r="R13" s="155" t="e">
        <f>VLOOKUP(A13,saisie!B$7:AL$26,18,0)</f>
        <v>#N/A</v>
      </c>
      <c r="S13" s="155" t="e">
        <f>VLOOKUP(A13,saisie!B$7:AL$26,19,0)</f>
        <v>#N/A</v>
      </c>
      <c r="T13" s="156" t="e">
        <f>VLOOKUP(A13,saisie!B$7:AL$26,20,0)</f>
        <v>#N/A</v>
      </c>
      <c r="U13" s="157" t="e">
        <f>VLOOKUP(A13,saisie!B$7:AL$26,21,0)</f>
        <v>#N/A</v>
      </c>
      <c r="V13" s="154" t="e">
        <f>VLOOKUP(A13,saisie!B$7:AL$26,22,0)</f>
        <v>#N/A</v>
      </c>
      <c r="W13" s="155" t="e">
        <f>VLOOKUP(A13,saisie!B$7:AL$26,23,0)</f>
        <v>#N/A</v>
      </c>
      <c r="X13" s="155" t="e">
        <f>VLOOKUP(A13,saisie!B$7:AL$26,24,0)</f>
        <v>#N/A</v>
      </c>
      <c r="Y13" s="155" t="e">
        <f>VLOOKUP(A13,saisie!B$7:AL$26,25,0)</f>
        <v>#N/A</v>
      </c>
      <c r="Z13" s="156" t="e">
        <f>VLOOKUP(A13,saisie!B$7:AL$26,26,0)</f>
        <v>#N/A</v>
      </c>
      <c r="AA13" s="157" t="e">
        <f>VLOOKUP(A13,saisie!B$7:AL$26,27,0)</f>
        <v>#N/A</v>
      </c>
      <c r="AB13" s="154" t="e">
        <f>VLOOKUP(A13,saisie!B$7:AL$26,28,0)</f>
        <v>#N/A</v>
      </c>
      <c r="AC13" s="155" t="e">
        <f>VLOOKUP(A13,saisie!B$7:AL$26,29,0)</f>
        <v>#N/A</v>
      </c>
      <c r="AD13" s="155" t="e">
        <f>VLOOKUP(A13,saisie!B$7:AL$26,30,0)</f>
        <v>#N/A</v>
      </c>
      <c r="AE13" s="155" t="e">
        <f>VLOOKUP(A13,saisie!B$7:AL$26,31,0)</f>
        <v>#N/A</v>
      </c>
      <c r="AF13" s="156" t="e">
        <f>VLOOKUP(A13,saisie!B$7:AL$26,32,0)</f>
        <v>#N/A</v>
      </c>
      <c r="AG13" s="157" t="e">
        <f>VLOOKUP(A13,saisie!B$7:AL$26,33,0)</f>
        <v>#N/A</v>
      </c>
      <c r="AH13" s="151" t="e">
        <f>VLOOKUP(A13,saisie!B$7:AL$26,34,0)</f>
        <v>#N/A</v>
      </c>
      <c r="AI13" s="158" t="e">
        <f>VLOOKUP(A13,saisie!B$7:AL$26,35,0)</f>
        <v>#N/A</v>
      </c>
      <c r="AJ13" s="159"/>
    </row>
    <row r="14" spans="1:37" ht="153" customHeight="1" x14ac:dyDescent="0.15">
      <c r="A14" s="151" t="str">
        <f>IF(INFO!B8&gt;7,8,"")</f>
        <v/>
      </c>
      <c r="B14" s="152" t="e">
        <f>VLOOKUP(A14,saisie!B$7:AL$26,2,0)</f>
        <v>#N/A</v>
      </c>
      <c r="C14" s="153" t="e">
        <f>VLOOKUP(A14,saisie!B$7:AL$26,3,0)</f>
        <v>#N/A</v>
      </c>
      <c r="D14" s="154" t="e">
        <f>VLOOKUP(A14,saisie!B$7:AL$26,4,0)</f>
        <v>#N/A</v>
      </c>
      <c r="E14" s="155" t="e">
        <f>VLOOKUP(A14,saisie!B$7:AL$26,5,0)</f>
        <v>#N/A</v>
      </c>
      <c r="F14" s="155" t="e">
        <f>VLOOKUP(A14,saisie!B$7:AL$26,6,0)</f>
        <v>#N/A</v>
      </c>
      <c r="G14" s="155" t="e">
        <f>VLOOKUP(A14,saisie!B$7:AL$26,7,0)</f>
        <v>#N/A</v>
      </c>
      <c r="H14" s="156" t="e">
        <f>VLOOKUP(A14,saisie!B$7:AL$26,8,0)</f>
        <v>#N/A</v>
      </c>
      <c r="I14" s="157" t="e">
        <f>VLOOKUP(A14,saisie!B$7:AL$26,9,0)</f>
        <v>#N/A</v>
      </c>
      <c r="J14" s="154" t="e">
        <f>VLOOKUP(A14,saisie!B$7:AL$26,10,0)</f>
        <v>#N/A</v>
      </c>
      <c r="K14" s="155" t="e">
        <f>VLOOKUP(A14,saisie!B$7:AL$26,11,0)</f>
        <v>#N/A</v>
      </c>
      <c r="L14" s="155" t="e">
        <f>VLOOKUP(A14,saisie!B$7:AL$26,12,0)</f>
        <v>#N/A</v>
      </c>
      <c r="M14" s="155" t="e">
        <f>VLOOKUP(A14,saisie!B$7:AL$26,13,0)</f>
        <v>#N/A</v>
      </c>
      <c r="N14" s="156" t="e">
        <f>VLOOKUP(A14,saisie!B$7:AL$26,14,0)</f>
        <v>#N/A</v>
      </c>
      <c r="O14" s="157" t="e">
        <f>VLOOKUP(A14,saisie!B$7:AL$26,15,0)</f>
        <v>#N/A</v>
      </c>
      <c r="P14" s="154" t="e">
        <f>VLOOKUP(A14,saisie!B$7:AL$26,16,0)</f>
        <v>#N/A</v>
      </c>
      <c r="Q14" s="155" t="e">
        <f>VLOOKUP(A14,saisie!B$7:AL$26,17,0)</f>
        <v>#N/A</v>
      </c>
      <c r="R14" s="155" t="e">
        <f>VLOOKUP(A14,saisie!B$7:AL$26,18,0)</f>
        <v>#N/A</v>
      </c>
      <c r="S14" s="155" t="e">
        <f>VLOOKUP(A14,saisie!B$7:AL$26,19,0)</f>
        <v>#N/A</v>
      </c>
      <c r="T14" s="156" t="e">
        <f>VLOOKUP(A14,saisie!B$7:AL$26,20,0)</f>
        <v>#N/A</v>
      </c>
      <c r="U14" s="157" t="e">
        <f>VLOOKUP(A14,saisie!B$7:AL$26,21,0)</f>
        <v>#N/A</v>
      </c>
      <c r="V14" s="154" t="e">
        <f>VLOOKUP(A14,saisie!B$7:AL$26,22,0)</f>
        <v>#N/A</v>
      </c>
      <c r="W14" s="155" t="e">
        <f>VLOOKUP(A14,saisie!B$7:AL$26,23,0)</f>
        <v>#N/A</v>
      </c>
      <c r="X14" s="155" t="e">
        <f>VLOOKUP(A14,saisie!B$7:AL$26,24,0)</f>
        <v>#N/A</v>
      </c>
      <c r="Y14" s="155" t="e">
        <f>VLOOKUP(A14,saisie!B$7:AL$26,25,0)</f>
        <v>#N/A</v>
      </c>
      <c r="Z14" s="156" t="e">
        <f>VLOOKUP(A14,saisie!B$7:AL$26,26,0)</f>
        <v>#N/A</v>
      </c>
      <c r="AA14" s="157" t="e">
        <f>VLOOKUP(A14,saisie!B$7:AL$26,27,0)</f>
        <v>#N/A</v>
      </c>
      <c r="AB14" s="154" t="e">
        <f>VLOOKUP(A14,saisie!B$7:AL$26,28,0)</f>
        <v>#N/A</v>
      </c>
      <c r="AC14" s="155" t="e">
        <f>VLOOKUP(A14,saisie!B$7:AL$26,29,0)</f>
        <v>#N/A</v>
      </c>
      <c r="AD14" s="155" t="e">
        <f>VLOOKUP(A14,saisie!B$7:AL$26,30,0)</f>
        <v>#N/A</v>
      </c>
      <c r="AE14" s="155" t="e">
        <f>VLOOKUP(A14,saisie!B$7:AL$26,31,0)</f>
        <v>#N/A</v>
      </c>
      <c r="AF14" s="156" t="e">
        <f>VLOOKUP(A14,saisie!B$7:AL$26,32,0)</f>
        <v>#N/A</v>
      </c>
      <c r="AG14" s="157" t="e">
        <f>VLOOKUP(A14,saisie!B$7:AL$26,33,0)</f>
        <v>#N/A</v>
      </c>
      <c r="AH14" s="151" t="e">
        <f>VLOOKUP(A14,saisie!B$7:AL$26,34,0)</f>
        <v>#N/A</v>
      </c>
      <c r="AI14" s="158" t="e">
        <f>VLOOKUP(A14,saisie!B$7:AL$26,35,0)</f>
        <v>#N/A</v>
      </c>
      <c r="AJ14" s="159"/>
    </row>
    <row r="15" spans="1:37" ht="153" customHeight="1" x14ac:dyDescent="0.15">
      <c r="A15" s="151" t="str">
        <f>IF(INFO!B8&gt;8,9,"")</f>
        <v/>
      </c>
      <c r="B15" s="152" t="e">
        <f>VLOOKUP(A15,saisie!B$7:AL$26,2,0)</f>
        <v>#N/A</v>
      </c>
      <c r="C15" s="153" t="e">
        <f>VLOOKUP(A15,saisie!B$7:AL$26,3,0)</f>
        <v>#N/A</v>
      </c>
      <c r="D15" s="154" t="e">
        <f>VLOOKUP(A15,saisie!B$7:AL$26,4,0)</f>
        <v>#N/A</v>
      </c>
      <c r="E15" s="155" t="e">
        <f>VLOOKUP(A15,saisie!B$7:AL$26,5,0)</f>
        <v>#N/A</v>
      </c>
      <c r="F15" s="155" t="e">
        <f>VLOOKUP(A15,saisie!B$7:AL$26,6,0)</f>
        <v>#N/A</v>
      </c>
      <c r="G15" s="155" t="e">
        <f>VLOOKUP(A15,saisie!B$7:AL$26,7,0)</f>
        <v>#N/A</v>
      </c>
      <c r="H15" s="156" t="e">
        <f>VLOOKUP(A15,saisie!B$7:AL$26,8,0)</f>
        <v>#N/A</v>
      </c>
      <c r="I15" s="157" t="e">
        <f>VLOOKUP(A15,saisie!B$7:AL$26,9,0)</f>
        <v>#N/A</v>
      </c>
      <c r="J15" s="154" t="e">
        <f>VLOOKUP(A15,saisie!B$7:AL$26,10,0)</f>
        <v>#N/A</v>
      </c>
      <c r="K15" s="155" t="e">
        <f>VLOOKUP(A15,saisie!B$7:AL$26,11,0)</f>
        <v>#N/A</v>
      </c>
      <c r="L15" s="155" t="e">
        <f>VLOOKUP(A15,saisie!B$7:AL$26,12,0)</f>
        <v>#N/A</v>
      </c>
      <c r="M15" s="155" t="e">
        <f>VLOOKUP(A15,saisie!B$7:AL$26,13,0)</f>
        <v>#N/A</v>
      </c>
      <c r="N15" s="156" t="e">
        <f>VLOOKUP(A15,saisie!B$7:AL$26,14,0)</f>
        <v>#N/A</v>
      </c>
      <c r="O15" s="157" t="e">
        <f>VLOOKUP(A15,saisie!B$7:AL$26,15,0)</f>
        <v>#N/A</v>
      </c>
      <c r="P15" s="154" t="e">
        <f>VLOOKUP(A15,saisie!B$7:AL$26,16,0)</f>
        <v>#N/A</v>
      </c>
      <c r="Q15" s="155" t="e">
        <f>VLOOKUP(A15,saisie!B$7:AL$26,17,0)</f>
        <v>#N/A</v>
      </c>
      <c r="R15" s="155" t="e">
        <f>VLOOKUP(A15,saisie!B$7:AL$26,18,0)</f>
        <v>#N/A</v>
      </c>
      <c r="S15" s="155" t="e">
        <f>VLOOKUP(A15,saisie!B$7:AL$26,19,0)</f>
        <v>#N/A</v>
      </c>
      <c r="T15" s="156" t="e">
        <f>VLOOKUP(A15,saisie!B$7:AL$26,20,0)</f>
        <v>#N/A</v>
      </c>
      <c r="U15" s="157" t="e">
        <f>VLOOKUP(A15,saisie!B$7:AL$26,21,0)</f>
        <v>#N/A</v>
      </c>
      <c r="V15" s="154" t="e">
        <f>VLOOKUP(A15,saisie!B$7:AL$26,22,0)</f>
        <v>#N/A</v>
      </c>
      <c r="W15" s="155" t="e">
        <f>VLOOKUP(A15,saisie!B$7:AL$26,23,0)</f>
        <v>#N/A</v>
      </c>
      <c r="X15" s="155" t="e">
        <f>VLOOKUP(A15,saisie!B$7:AL$26,24,0)</f>
        <v>#N/A</v>
      </c>
      <c r="Y15" s="155" t="e">
        <f>VLOOKUP(A15,saisie!B$7:AL$26,25,0)</f>
        <v>#N/A</v>
      </c>
      <c r="Z15" s="156" t="e">
        <f>VLOOKUP(A15,saisie!B$7:AL$26,26,0)</f>
        <v>#N/A</v>
      </c>
      <c r="AA15" s="157" t="e">
        <f>VLOOKUP(A15,saisie!B$7:AL$26,27,0)</f>
        <v>#N/A</v>
      </c>
      <c r="AB15" s="154" t="e">
        <f>VLOOKUP(A15,saisie!B$7:AL$26,28,0)</f>
        <v>#N/A</v>
      </c>
      <c r="AC15" s="155" t="e">
        <f>VLOOKUP(A15,saisie!B$7:AL$26,29,0)</f>
        <v>#N/A</v>
      </c>
      <c r="AD15" s="155" t="e">
        <f>VLOOKUP(A15,saisie!B$7:AL$26,30,0)</f>
        <v>#N/A</v>
      </c>
      <c r="AE15" s="155" t="e">
        <f>VLOOKUP(A15,saisie!B$7:AL$26,31,0)</f>
        <v>#N/A</v>
      </c>
      <c r="AF15" s="156" t="e">
        <f>VLOOKUP(A15,saisie!B$7:AL$26,32,0)</f>
        <v>#N/A</v>
      </c>
      <c r="AG15" s="157" t="e">
        <f>VLOOKUP(A15,saisie!B$7:AL$26,33,0)</f>
        <v>#N/A</v>
      </c>
      <c r="AH15" s="151" t="e">
        <f>VLOOKUP(A15,saisie!B$7:AL$26,34,0)</f>
        <v>#N/A</v>
      </c>
      <c r="AI15" s="158" t="e">
        <f>VLOOKUP(A15,saisie!B$7:AL$26,35,0)</f>
        <v>#N/A</v>
      </c>
      <c r="AJ15" s="159"/>
    </row>
    <row r="16" spans="1:37" ht="153" customHeight="1" x14ac:dyDescent="0.15">
      <c r="A16" s="151" t="str">
        <f>IF(INFO!B8&gt;9,10,"")</f>
        <v/>
      </c>
      <c r="B16" s="152" t="e">
        <f>VLOOKUP(A16,saisie!B$7:AL$26,2,0)</f>
        <v>#N/A</v>
      </c>
      <c r="C16" s="153" t="e">
        <f>VLOOKUP(A16,saisie!B$7:AL$26,3,0)</f>
        <v>#N/A</v>
      </c>
      <c r="D16" s="154" t="e">
        <f>VLOOKUP(A16,saisie!B$7:AL$26,4,0)</f>
        <v>#N/A</v>
      </c>
      <c r="E16" s="155" t="e">
        <f>VLOOKUP(A16,saisie!B$7:AL$26,5,0)</f>
        <v>#N/A</v>
      </c>
      <c r="F16" s="155" t="e">
        <f>VLOOKUP(A16,saisie!B$7:AL$26,6,0)</f>
        <v>#N/A</v>
      </c>
      <c r="G16" s="155" t="e">
        <f>VLOOKUP(A16,saisie!B$7:AL$26,7,0)</f>
        <v>#N/A</v>
      </c>
      <c r="H16" s="156" t="e">
        <f>VLOOKUP(A16,saisie!B$7:AL$26,8,0)</f>
        <v>#N/A</v>
      </c>
      <c r="I16" s="157" t="e">
        <f>VLOOKUP(A16,saisie!B$7:AL$26,9,0)</f>
        <v>#N/A</v>
      </c>
      <c r="J16" s="154" t="e">
        <f>VLOOKUP(A16,saisie!B$7:AL$26,10,0)</f>
        <v>#N/A</v>
      </c>
      <c r="K16" s="155" t="e">
        <f>VLOOKUP(A16,saisie!B$7:AL$26,11,0)</f>
        <v>#N/A</v>
      </c>
      <c r="L16" s="155" t="e">
        <f>VLOOKUP(A16,saisie!B$7:AL$26,12,0)</f>
        <v>#N/A</v>
      </c>
      <c r="M16" s="155" t="e">
        <f>VLOOKUP(A16,saisie!B$7:AL$26,13,0)</f>
        <v>#N/A</v>
      </c>
      <c r="N16" s="156" t="e">
        <f>VLOOKUP(A16,saisie!B$7:AL$26,14,0)</f>
        <v>#N/A</v>
      </c>
      <c r="O16" s="157" t="e">
        <f>VLOOKUP(A16,saisie!B$7:AL$26,15,0)</f>
        <v>#N/A</v>
      </c>
      <c r="P16" s="154" t="e">
        <f>VLOOKUP(A16,saisie!B$7:AL$26,16,0)</f>
        <v>#N/A</v>
      </c>
      <c r="Q16" s="155" t="e">
        <f>VLOOKUP(A16,saisie!B$7:AL$26,17,0)</f>
        <v>#N/A</v>
      </c>
      <c r="R16" s="155" t="e">
        <f>VLOOKUP(A16,saisie!B$7:AL$26,18,0)</f>
        <v>#N/A</v>
      </c>
      <c r="S16" s="155" t="e">
        <f>VLOOKUP(A16,saisie!B$7:AL$26,19,0)</f>
        <v>#N/A</v>
      </c>
      <c r="T16" s="156" t="e">
        <f>VLOOKUP(A16,saisie!B$7:AL$26,20,0)</f>
        <v>#N/A</v>
      </c>
      <c r="U16" s="157" t="e">
        <f>VLOOKUP(A16,saisie!B$7:AL$26,21,0)</f>
        <v>#N/A</v>
      </c>
      <c r="V16" s="154" t="e">
        <f>VLOOKUP(A16,saisie!B$7:AL$26,22,0)</f>
        <v>#N/A</v>
      </c>
      <c r="W16" s="155" t="e">
        <f>VLOOKUP(A16,saisie!B$7:AL$26,23,0)</f>
        <v>#N/A</v>
      </c>
      <c r="X16" s="155" t="e">
        <f>VLOOKUP(A16,saisie!B$7:AL$26,24,0)</f>
        <v>#N/A</v>
      </c>
      <c r="Y16" s="155" t="e">
        <f>VLOOKUP(A16,saisie!B$7:AL$26,25,0)</f>
        <v>#N/A</v>
      </c>
      <c r="Z16" s="156" t="e">
        <f>VLOOKUP(A16,saisie!B$7:AL$26,26,0)</f>
        <v>#N/A</v>
      </c>
      <c r="AA16" s="157" t="e">
        <f>VLOOKUP(A16,saisie!B$7:AL$26,27,0)</f>
        <v>#N/A</v>
      </c>
      <c r="AB16" s="154" t="e">
        <f>VLOOKUP(A16,saisie!B$7:AL$26,28,0)</f>
        <v>#N/A</v>
      </c>
      <c r="AC16" s="155" t="e">
        <f>VLOOKUP(A16,saisie!B$7:AL$26,29,0)</f>
        <v>#N/A</v>
      </c>
      <c r="AD16" s="155" t="e">
        <f>VLOOKUP(A16,saisie!B$7:AL$26,30,0)</f>
        <v>#N/A</v>
      </c>
      <c r="AE16" s="155" t="e">
        <f>VLOOKUP(A16,saisie!B$7:AL$26,31,0)</f>
        <v>#N/A</v>
      </c>
      <c r="AF16" s="156" t="e">
        <f>VLOOKUP(A16,saisie!B$7:AL$26,32,0)</f>
        <v>#N/A</v>
      </c>
      <c r="AG16" s="157" t="e">
        <f>VLOOKUP(A16,saisie!B$7:AL$26,33,0)</f>
        <v>#N/A</v>
      </c>
      <c r="AH16" s="151" t="e">
        <f>VLOOKUP(A16,saisie!B$7:AL$26,34,0)</f>
        <v>#N/A</v>
      </c>
      <c r="AI16" s="158" t="e">
        <f>VLOOKUP(A16,saisie!B$7:AL$26,35,0)</f>
        <v>#N/A</v>
      </c>
      <c r="AJ16" s="159"/>
    </row>
    <row r="17" spans="1:36" ht="153" customHeight="1" x14ac:dyDescent="0.15">
      <c r="A17" s="151" t="str">
        <f>IF(INFO!B8&gt;10,11,"")</f>
        <v/>
      </c>
      <c r="B17" s="152" t="e">
        <f>VLOOKUP(A17,saisie!B$7:AL$26,2,0)</f>
        <v>#N/A</v>
      </c>
      <c r="C17" s="153" t="e">
        <f>VLOOKUP(A17,saisie!B$7:AL$26,3,0)</f>
        <v>#N/A</v>
      </c>
      <c r="D17" s="154" t="e">
        <f>VLOOKUP(A17,saisie!B$7:AL$26,4,0)</f>
        <v>#N/A</v>
      </c>
      <c r="E17" s="155" t="e">
        <f>VLOOKUP(A17,saisie!B$7:AL$26,5,0)</f>
        <v>#N/A</v>
      </c>
      <c r="F17" s="155" t="e">
        <f>VLOOKUP(A17,saisie!B$7:AL$26,6,0)</f>
        <v>#N/A</v>
      </c>
      <c r="G17" s="155" t="e">
        <f>VLOOKUP(A17,saisie!B$7:AL$26,7,0)</f>
        <v>#N/A</v>
      </c>
      <c r="H17" s="156" t="e">
        <f>VLOOKUP(A17,saisie!B$7:AL$26,8,0)</f>
        <v>#N/A</v>
      </c>
      <c r="I17" s="157" t="e">
        <f>VLOOKUP(A17,saisie!B$7:AL$26,9,0)</f>
        <v>#N/A</v>
      </c>
      <c r="J17" s="154" t="e">
        <f>VLOOKUP(A17,saisie!B$7:AL$26,10,0)</f>
        <v>#N/A</v>
      </c>
      <c r="K17" s="155" t="e">
        <f>VLOOKUP(A17,saisie!B$7:AL$26,11,0)</f>
        <v>#N/A</v>
      </c>
      <c r="L17" s="155" t="e">
        <f>VLOOKUP(A17,saisie!B$7:AL$26,12,0)</f>
        <v>#N/A</v>
      </c>
      <c r="M17" s="155" t="e">
        <f>VLOOKUP(A17,saisie!B$7:AL$26,13,0)</f>
        <v>#N/A</v>
      </c>
      <c r="N17" s="156" t="e">
        <f>VLOOKUP(A17,saisie!B$7:AL$26,14,0)</f>
        <v>#N/A</v>
      </c>
      <c r="O17" s="157" t="e">
        <f>VLOOKUP(A17,saisie!B$7:AL$26,15,0)</f>
        <v>#N/A</v>
      </c>
      <c r="P17" s="154" t="e">
        <f>VLOOKUP(A17,saisie!B$7:AL$26,16,0)</f>
        <v>#N/A</v>
      </c>
      <c r="Q17" s="155" t="e">
        <f>VLOOKUP(A17,saisie!B$7:AL$26,17,0)</f>
        <v>#N/A</v>
      </c>
      <c r="R17" s="155" t="e">
        <f>VLOOKUP(A17,saisie!B$7:AL$26,18,0)</f>
        <v>#N/A</v>
      </c>
      <c r="S17" s="155" t="e">
        <f>VLOOKUP(A17,saisie!B$7:AL$26,19,0)</f>
        <v>#N/A</v>
      </c>
      <c r="T17" s="156" t="e">
        <f>VLOOKUP(A17,saisie!B$7:AL$26,20,0)</f>
        <v>#N/A</v>
      </c>
      <c r="U17" s="157" t="e">
        <f>VLOOKUP(A17,saisie!B$7:AL$26,21,0)</f>
        <v>#N/A</v>
      </c>
      <c r="V17" s="154" t="e">
        <f>VLOOKUP(A17,saisie!B$7:AL$26,22,0)</f>
        <v>#N/A</v>
      </c>
      <c r="W17" s="155" t="e">
        <f>VLOOKUP(A17,saisie!B$7:AL$26,23,0)</f>
        <v>#N/A</v>
      </c>
      <c r="X17" s="155" t="e">
        <f>VLOOKUP(A17,saisie!B$7:AL$26,24,0)</f>
        <v>#N/A</v>
      </c>
      <c r="Y17" s="155" t="e">
        <f>VLOOKUP(A17,saisie!B$7:AL$26,25,0)</f>
        <v>#N/A</v>
      </c>
      <c r="Z17" s="156" t="e">
        <f>VLOOKUP(A17,saisie!B$7:AL$26,26,0)</f>
        <v>#N/A</v>
      </c>
      <c r="AA17" s="157" t="e">
        <f>VLOOKUP(A17,saisie!B$7:AL$26,27,0)</f>
        <v>#N/A</v>
      </c>
      <c r="AB17" s="154" t="e">
        <f>VLOOKUP(A17,saisie!B$7:AL$26,28,0)</f>
        <v>#N/A</v>
      </c>
      <c r="AC17" s="155" t="e">
        <f>VLOOKUP(A17,saisie!B$7:AL$26,29,0)</f>
        <v>#N/A</v>
      </c>
      <c r="AD17" s="155" t="e">
        <f>VLOOKUP(A17,saisie!B$7:AL$26,30,0)</f>
        <v>#N/A</v>
      </c>
      <c r="AE17" s="155" t="e">
        <f>VLOOKUP(A17,saisie!B$7:AL$26,31,0)</f>
        <v>#N/A</v>
      </c>
      <c r="AF17" s="156" t="e">
        <f>VLOOKUP(A17,saisie!B$7:AL$26,32,0)</f>
        <v>#N/A</v>
      </c>
      <c r="AG17" s="157" t="e">
        <f>VLOOKUP(A17,saisie!B$7:AL$26,33,0)</f>
        <v>#N/A</v>
      </c>
      <c r="AH17" s="151" t="e">
        <f>VLOOKUP(A17,saisie!B$7:AL$26,34,0)</f>
        <v>#N/A</v>
      </c>
      <c r="AI17" s="158" t="e">
        <f>VLOOKUP(A17,saisie!B$7:AL$26,35,0)</f>
        <v>#N/A</v>
      </c>
      <c r="AJ17" s="159"/>
    </row>
    <row r="18" spans="1:36" ht="153" customHeight="1" x14ac:dyDescent="0.15">
      <c r="A18" s="151" t="str">
        <f>IF(INFO!B8&gt;11,12,"")</f>
        <v/>
      </c>
      <c r="B18" s="152" t="e">
        <f>VLOOKUP(A18,saisie!B$7:AL$26,2,0)</f>
        <v>#N/A</v>
      </c>
      <c r="C18" s="153" t="e">
        <f>VLOOKUP(A18,saisie!B$7:AL$26,3,0)</f>
        <v>#N/A</v>
      </c>
      <c r="D18" s="154" t="e">
        <f>VLOOKUP(A18,saisie!B$7:AL$26,4,0)</f>
        <v>#N/A</v>
      </c>
      <c r="E18" s="155" t="e">
        <f>VLOOKUP(A18,saisie!B$7:AL$26,5,0)</f>
        <v>#N/A</v>
      </c>
      <c r="F18" s="155" t="e">
        <f>VLOOKUP(A18,saisie!B$7:AL$26,6,0)</f>
        <v>#N/A</v>
      </c>
      <c r="G18" s="155" t="e">
        <f>VLOOKUP(A18,saisie!B$7:AL$26,7,0)</f>
        <v>#N/A</v>
      </c>
      <c r="H18" s="156" t="e">
        <f>VLOOKUP(A18,saisie!B$7:AL$26,8,0)</f>
        <v>#N/A</v>
      </c>
      <c r="I18" s="157" t="e">
        <f>VLOOKUP(A18,saisie!B$7:AL$26,9,0)</f>
        <v>#N/A</v>
      </c>
      <c r="J18" s="154" t="e">
        <f>VLOOKUP(A18,saisie!B$7:AL$26,10,0)</f>
        <v>#N/A</v>
      </c>
      <c r="K18" s="155" t="e">
        <f>VLOOKUP(A18,saisie!B$7:AL$26,11,0)</f>
        <v>#N/A</v>
      </c>
      <c r="L18" s="155" t="e">
        <f>VLOOKUP(A18,saisie!B$7:AL$26,12,0)</f>
        <v>#N/A</v>
      </c>
      <c r="M18" s="155" t="e">
        <f>VLOOKUP(A18,saisie!B$7:AL$26,13,0)</f>
        <v>#N/A</v>
      </c>
      <c r="N18" s="156" t="e">
        <f>VLOOKUP(A18,saisie!B$7:AL$26,14,0)</f>
        <v>#N/A</v>
      </c>
      <c r="O18" s="157" t="e">
        <f>VLOOKUP(A18,saisie!B$7:AL$26,15,0)</f>
        <v>#N/A</v>
      </c>
      <c r="P18" s="154" t="e">
        <f>VLOOKUP(A18,saisie!B$7:AL$26,16,0)</f>
        <v>#N/A</v>
      </c>
      <c r="Q18" s="155" t="e">
        <f>VLOOKUP(A18,saisie!B$7:AL$26,17,0)</f>
        <v>#N/A</v>
      </c>
      <c r="R18" s="155" t="e">
        <f>VLOOKUP(A18,saisie!B$7:AL$26,18,0)</f>
        <v>#N/A</v>
      </c>
      <c r="S18" s="155" t="e">
        <f>VLOOKUP(A18,saisie!B$7:AL$26,19,0)</f>
        <v>#N/A</v>
      </c>
      <c r="T18" s="156" t="e">
        <f>VLOOKUP(A18,saisie!B$7:AL$26,20,0)</f>
        <v>#N/A</v>
      </c>
      <c r="U18" s="157" t="e">
        <f>VLOOKUP(A18,saisie!B$7:AL$26,21,0)</f>
        <v>#N/A</v>
      </c>
      <c r="V18" s="154" t="e">
        <f>VLOOKUP(A18,saisie!B$7:AL$26,22,0)</f>
        <v>#N/A</v>
      </c>
      <c r="W18" s="155" t="e">
        <f>VLOOKUP(A18,saisie!B$7:AL$26,23,0)</f>
        <v>#N/A</v>
      </c>
      <c r="X18" s="155" t="e">
        <f>VLOOKUP(A18,saisie!B$7:AL$26,24,0)</f>
        <v>#N/A</v>
      </c>
      <c r="Y18" s="155" t="e">
        <f>VLOOKUP(A18,saisie!B$7:AL$26,25,0)</f>
        <v>#N/A</v>
      </c>
      <c r="Z18" s="156" t="e">
        <f>VLOOKUP(A18,saisie!B$7:AL$26,26,0)</f>
        <v>#N/A</v>
      </c>
      <c r="AA18" s="157" t="e">
        <f>VLOOKUP(A18,saisie!B$7:AL$26,27,0)</f>
        <v>#N/A</v>
      </c>
      <c r="AB18" s="154" t="e">
        <f>VLOOKUP(A18,saisie!B$7:AL$26,28,0)</f>
        <v>#N/A</v>
      </c>
      <c r="AC18" s="155" t="e">
        <f>VLOOKUP(A18,saisie!B$7:AL$26,29,0)</f>
        <v>#N/A</v>
      </c>
      <c r="AD18" s="155" t="e">
        <f>VLOOKUP(A18,saisie!B$7:AL$26,30,0)</f>
        <v>#N/A</v>
      </c>
      <c r="AE18" s="155" t="e">
        <f>VLOOKUP(A18,saisie!B$7:AL$26,31,0)</f>
        <v>#N/A</v>
      </c>
      <c r="AF18" s="156" t="e">
        <f>VLOOKUP(A18,saisie!B$7:AL$26,32,0)</f>
        <v>#N/A</v>
      </c>
      <c r="AG18" s="157" t="e">
        <f>VLOOKUP(A18,saisie!B$7:AL$26,33,0)</f>
        <v>#N/A</v>
      </c>
      <c r="AH18" s="151" t="e">
        <f>VLOOKUP(A18,saisie!B$7:AL$26,34,0)</f>
        <v>#N/A</v>
      </c>
      <c r="AI18" s="158" t="e">
        <f>VLOOKUP(A18,saisie!B$7:AL$26,35,0)</f>
        <v>#N/A</v>
      </c>
      <c r="AJ18" s="159"/>
    </row>
    <row r="19" spans="1:36" ht="153" customHeight="1" x14ac:dyDescent="0.15">
      <c r="A19" s="151" t="str">
        <f>IF(INFO!B8&gt;12,13,"")</f>
        <v/>
      </c>
      <c r="B19" s="152" t="e">
        <f>VLOOKUP(A19,saisie!B$7:AL$26,2,0)</f>
        <v>#N/A</v>
      </c>
      <c r="C19" s="153" t="e">
        <f>VLOOKUP(A19,saisie!B$7:AL$26,3,0)</f>
        <v>#N/A</v>
      </c>
      <c r="D19" s="154" t="e">
        <f>VLOOKUP(A19,saisie!B$7:AL$26,4,0)</f>
        <v>#N/A</v>
      </c>
      <c r="E19" s="155" t="e">
        <f>VLOOKUP(A19,saisie!B$7:AL$26,5,0)</f>
        <v>#N/A</v>
      </c>
      <c r="F19" s="155" t="e">
        <f>VLOOKUP(A19,saisie!B$7:AL$26,6,0)</f>
        <v>#N/A</v>
      </c>
      <c r="G19" s="155" t="e">
        <f>VLOOKUP(A19,saisie!B$7:AL$26,7,0)</f>
        <v>#N/A</v>
      </c>
      <c r="H19" s="156" t="e">
        <f>VLOOKUP(A19,saisie!B$7:AL$26,8,0)</f>
        <v>#N/A</v>
      </c>
      <c r="I19" s="157" t="e">
        <f>VLOOKUP(A19,saisie!B$7:AL$26,9,0)</f>
        <v>#N/A</v>
      </c>
      <c r="J19" s="154" t="e">
        <f>VLOOKUP(A19,saisie!B$7:AL$26,10,0)</f>
        <v>#N/A</v>
      </c>
      <c r="K19" s="155" t="e">
        <f>VLOOKUP(A19,saisie!B$7:AL$26,11,0)</f>
        <v>#N/A</v>
      </c>
      <c r="L19" s="155" t="e">
        <f>VLOOKUP(A19,saisie!B$7:AL$26,12,0)</f>
        <v>#N/A</v>
      </c>
      <c r="M19" s="155" t="e">
        <f>VLOOKUP(A19,saisie!B$7:AL$26,13,0)</f>
        <v>#N/A</v>
      </c>
      <c r="N19" s="156" t="e">
        <f>VLOOKUP(A19,saisie!B$7:AL$26,14,0)</f>
        <v>#N/A</v>
      </c>
      <c r="O19" s="157" t="e">
        <f>VLOOKUP(A19,saisie!B$7:AL$26,15,0)</f>
        <v>#N/A</v>
      </c>
      <c r="P19" s="154" t="e">
        <f>VLOOKUP(A19,saisie!B$7:AL$26,16,0)</f>
        <v>#N/A</v>
      </c>
      <c r="Q19" s="155" t="e">
        <f>VLOOKUP(A19,saisie!B$7:AL$26,17,0)</f>
        <v>#N/A</v>
      </c>
      <c r="R19" s="155" t="e">
        <f>VLOOKUP(A19,saisie!B$7:AL$26,18,0)</f>
        <v>#N/A</v>
      </c>
      <c r="S19" s="155" t="e">
        <f>VLOOKUP(A19,saisie!B$7:AL$26,19,0)</f>
        <v>#N/A</v>
      </c>
      <c r="T19" s="156" t="e">
        <f>VLOOKUP(A19,saisie!B$7:AL$26,20,0)</f>
        <v>#N/A</v>
      </c>
      <c r="U19" s="157" t="e">
        <f>VLOOKUP(A19,saisie!B$7:AL$26,21,0)</f>
        <v>#N/A</v>
      </c>
      <c r="V19" s="154" t="e">
        <f>VLOOKUP(A19,saisie!B$7:AL$26,22,0)</f>
        <v>#N/A</v>
      </c>
      <c r="W19" s="155" t="e">
        <f>VLOOKUP(A19,saisie!B$7:AL$26,23,0)</f>
        <v>#N/A</v>
      </c>
      <c r="X19" s="155" t="e">
        <f>VLOOKUP(A19,saisie!B$7:AL$26,24,0)</f>
        <v>#N/A</v>
      </c>
      <c r="Y19" s="155" t="e">
        <f>VLOOKUP(A19,saisie!B$7:AL$26,25,0)</f>
        <v>#N/A</v>
      </c>
      <c r="Z19" s="156" t="e">
        <f>VLOOKUP(A19,saisie!B$7:AL$26,26,0)</f>
        <v>#N/A</v>
      </c>
      <c r="AA19" s="157" t="e">
        <f>VLOOKUP(A19,saisie!B$7:AL$26,27,0)</f>
        <v>#N/A</v>
      </c>
      <c r="AB19" s="154" t="e">
        <f>VLOOKUP(A19,saisie!B$7:AL$26,28,0)</f>
        <v>#N/A</v>
      </c>
      <c r="AC19" s="155" t="e">
        <f>VLOOKUP(A19,saisie!B$7:AL$26,29,0)</f>
        <v>#N/A</v>
      </c>
      <c r="AD19" s="155" t="e">
        <f>VLOOKUP(A19,saisie!B$7:AL$26,30,0)</f>
        <v>#N/A</v>
      </c>
      <c r="AE19" s="155" t="e">
        <f>VLOOKUP(A19,saisie!B$7:AL$26,31,0)</f>
        <v>#N/A</v>
      </c>
      <c r="AF19" s="156" t="e">
        <f>VLOOKUP(A19,saisie!B$7:AL$26,32,0)</f>
        <v>#N/A</v>
      </c>
      <c r="AG19" s="157" t="e">
        <f>VLOOKUP(A19,saisie!B$7:AL$26,33,0)</f>
        <v>#N/A</v>
      </c>
      <c r="AH19" s="151" t="e">
        <f>VLOOKUP(A19,saisie!B$7:AL$26,34,0)</f>
        <v>#N/A</v>
      </c>
      <c r="AI19" s="158" t="e">
        <f>VLOOKUP(A19,saisie!B$7:AL$26,35,0)</f>
        <v>#N/A</v>
      </c>
      <c r="AJ19" s="159"/>
    </row>
    <row r="20" spans="1:36" ht="153" customHeight="1" x14ac:dyDescent="0.15">
      <c r="A20" s="151" t="str">
        <f>IF(INFO!B8&gt;13,14,"")</f>
        <v/>
      </c>
      <c r="B20" s="152" t="e">
        <f>VLOOKUP(A20,saisie!B$7:AL$26,2,0)</f>
        <v>#N/A</v>
      </c>
      <c r="C20" s="153" t="e">
        <f>VLOOKUP(A20,saisie!B$7:AL$26,3,0)</f>
        <v>#N/A</v>
      </c>
      <c r="D20" s="154" t="e">
        <f>VLOOKUP(A20,saisie!B$7:AL$26,4,0)</f>
        <v>#N/A</v>
      </c>
      <c r="E20" s="155" t="e">
        <f>VLOOKUP(A20,saisie!B$7:AL$26,5,0)</f>
        <v>#N/A</v>
      </c>
      <c r="F20" s="155" t="e">
        <f>VLOOKUP(A20,saisie!B$7:AL$26,6,0)</f>
        <v>#N/A</v>
      </c>
      <c r="G20" s="155" t="e">
        <f>VLOOKUP(A20,saisie!B$7:AL$26,7,0)</f>
        <v>#N/A</v>
      </c>
      <c r="H20" s="156" t="e">
        <f>VLOOKUP(A20,saisie!B$7:AL$26,8,0)</f>
        <v>#N/A</v>
      </c>
      <c r="I20" s="157" t="e">
        <f>VLOOKUP(A20,saisie!B$7:AL$26,9,0)</f>
        <v>#N/A</v>
      </c>
      <c r="J20" s="154" t="e">
        <f>VLOOKUP(A20,saisie!B$7:AL$26,10,0)</f>
        <v>#N/A</v>
      </c>
      <c r="K20" s="155" t="e">
        <f>VLOOKUP(A20,saisie!B$7:AL$26,11,0)</f>
        <v>#N/A</v>
      </c>
      <c r="L20" s="155" t="e">
        <f>VLOOKUP(A20,saisie!B$7:AL$26,12,0)</f>
        <v>#N/A</v>
      </c>
      <c r="M20" s="155" t="e">
        <f>VLOOKUP(A20,saisie!B$7:AL$26,13,0)</f>
        <v>#N/A</v>
      </c>
      <c r="N20" s="156" t="e">
        <f>VLOOKUP(A20,saisie!B$7:AL$26,14,0)</f>
        <v>#N/A</v>
      </c>
      <c r="O20" s="157" t="e">
        <f>VLOOKUP(A20,saisie!B$7:AL$26,15,0)</f>
        <v>#N/A</v>
      </c>
      <c r="P20" s="154" t="e">
        <f>VLOOKUP(A20,saisie!B$7:AL$26,16,0)</f>
        <v>#N/A</v>
      </c>
      <c r="Q20" s="155" t="e">
        <f>VLOOKUP(A20,saisie!B$7:AL$26,17,0)</f>
        <v>#N/A</v>
      </c>
      <c r="R20" s="155" t="e">
        <f>VLOOKUP(A20,saisie!B$7:AL$26,18,0)</f>
        <v>#N/A</v>
      </c>
      <c r="S20" s="155" t="e">
        <f>VLOOKUP(A20,saisie!B$7:AL$26,19,0)</f>
        <v>#N/A</v>
      </c>
      <c r="T20" s="156" t="e">
        <f>VLOOKUP(A20,saisie!B$7:AL$26,20,0)</f>
        <v>#N/A</v>
      </c>
      <c r="U20" s="157" t="e">
        <f>VLOOKUP(A20,saisie!B$7:AL$26,21,0)</f>
        <v>#N/A</v>
      </c>
      <c r="V20" s="154" t="e">
        <f>VLOOKUP(A20,saisie!B$7:AL$26,22,0)</f>
        <v>#N/A</v>
      </c>
      <c r="W20" s="155" t="e">
        <f>VLOOKUP(A20,saisie!B$7:AL$26,23,0)</f>
        <v>#N/A</v>
      </c>
      <c r="X20" s="155" t="e">
        <f>VLOOKUP(A20,saisie!B$7:AL$26,24,0)</f>
        <v>#N/A</v>
      </c>
      <c r="Y20" s="155" t="e">
        <f>VLOOKUP(A20,saisie!B$7:AL$26,25,0)</f>
        <v>#N/A</v>
      </c>
      <c r="Z20" s="156" t="e">
        <f>VLOOKUP(A20,saisie!B$7:AL$26,26,0)</f>
        <v>#N/A</v>
      </c>
      <c r="AA20" s="157" t="e">
        <f>VLOOKUP(A20,saisie!B$7:AL$26,27,0)</f>
        <v>#N/A</v>
      </c>
      <c r="AB20" s="154" t="e">
        <f>VLOOKUP(A20,saisie!B$7:AL$26,28,0)</f>
        <v>#N/A</v>
      </c>
      <c r="AC20" s="155" t="e">
        <f>VLOOKUP(A20,saisie!B$7:AL$26,29,0)</f>
        <v>#N/A</v>
      </c>
      <c r="AD20" s="155" t="e">
        <f>VLOOKUP(A20,saisie!B$7:AL$26,30,0)</f>
        <v>#N/A</v>
      </c>
      <c r="AE20" s="155" t="e">
        <f>VLOOKUP(A20,saisie!B$7:AL$26,31,0)</f>
        <v>#N/A</v>
      </c>
      <c r="AF20" s="156" t="e">
        <f>VLOOKUP(A20,saisie!B$7:AL$26,32,0)</f>
        <v>#N/A</v>
      </c>
      <c r="AG20" s="157" t="e">
        <f>VLOOKUP(A20,saisie!B$7:AL$26,33,0)</f>
        <v>#N/A</v>
      </c>
      <c r="AH20" s="151" t="e">
        <f>VLOOKUP(A20,saisie!B$7:AL$26,34,0)</f>
        <v>#N/A</v>
      </c>
      <c r="AI20" s="158" t="e">
        <f>VLOOKUP(A20,saisie!B$7:AL$26,35,0)</f>
        <v>#N/A</v>
      </c>
      <c r="AJ20" s="159"/>
    </row>
    <row r="21" spans="1:36" ht="153" customHeight="1" x14ac:dyDescent="0.15">
      <c r="A21" s="151" t="str">
        <f>IF(INFO!B8&gt;14,15,"")</f>
        <v/>
      </c>
      <c r="B21" s="152" t="e">
        <f>VLOOKUP(A21,saisie!B$7:AL$26,2,0)</f>
        <v>#N/A</v>
      </c>
      <c r="C21" s="153" t="e">
        <f>VLOOKUP(A21,saisie!B$7:AL$26,3,0)</f>
        <v>#N/A</v>
      </c>
      <c r="D21" s="154" t="e">
        <f>VLOOKUP(A21,saisie!B$7:AL$26,4,0)</f>
        <v>#N/A</v>
      </c>
      <c r="E21" s="155" t="e">
        <f>VLOOKUP(A21,saisie!B$7:AL$26,5,0)</f>
        <v>#N/A</v>
      </c>
      <c r="F21" s="155" t="e">
        <f>VLOOKUP(A21,saisie!B$7:AL$26,6,0)</f>
        <v>#N/A</v>
      </c>
      <c r="G21" s="155" t="e">
        <f>VLOOKUP(A21,saisie!B$7:AL$26,7,0)</f>
        <v>#N/A</v>
      </c>
      <c r="H21" s="156" t="e">
        <f>VLOOKUP(A21,saisie!B$7:AL$26,8,0)</f>
        <v>#N/A</v>
      </c>
      <c r="I21" s="157" t="e">
        <f>VLOOKUP(A21,saisie!B$7:AL$26,9,0)</f>
        <v>#N/A</v>
      </c>
      <c r="J21" s="154" t="e">
        <f>VLOOKUP(A21,saisie!B$7:AL$26,10,0)</f>
        <v>#N/A</v>
      </c>
      <c r="K21" s="155" t="e">
        <f>VLOOKUP(A21,saisie!B$7:AL$26,11,0)</f>
        <v>#N/A</v>
      </c>
      <c r="L21" s="155" t="e">
        <f>VLOOKUP(A21,saisie!B$7:AL$26,12,0)</f>
        <v>#N/A</v>
      </c>
      <c r="M21" s="155" t="e">
        <f>VLOOKUP(A21,saisie!B$7:AL$26,13,0)</f>
        <v>#N/A</v>
      </c>
      <c r="N21" s="156" t="e">
        <f>VLOOKUP(A21,saisie!B$7:AL$26,14,0)</f>
        <v>#N/A</v>
      </c>
      <c r="O21" s="157" t="e">
        <f>VLOOKUP(A21,saisie!B$7:AL$26,15,0)</f>
        <v>#N/A</v>
      </c>
      <c r="P21" s="154" t="e">
        <f>VLOOKUP(A21,saisie!B$7:AL$26,16,0)</f>
        <v>#N/A</v>
      </c>
      <c r="Q21" s="155" t="e">
        <f>VLOOKUP(A21,saisie!B$7:AL$26,17,0)</f>
        <v>#N/A</v>
      </c>
      <c r="R21" s="155" t="e">
        <f>VLOOKUP(A21,saisie!B$7:AL$26,18,0)</f>
        <v>#N/A</v>
      </c>
      <c r="S21" s="155" t="e">
        <f>VLOOKUP(A21,saisie!B$7:AL$26,19,0)</f>
        <v>#N/A</v>
      </c>
      <c r="T21" s="156" t="e">
        <f>VLOOKUP(A21,saisie!B$7:AL$26,20,0)</f>
        <v>#N/A</v>
      </c>
      <c r="U21" s="157" t="e">
        <f>VLOOKUP(A21,saisie!B$7:AL$26,21,0)</f>
        <v>#N/A</v>
      </c>
      <c r="V21" s="154" t="e">
        <f>VLOOKUP(A21,saisie!B$7:AL$26,22,0)</f>
        <v>#N/A</v>
      </c>
      <c r="W21" s="155" t="e">
        <f>VLOOKUP(A21,saisie!B$7:AL$26,23,0)</f>
        <v>#N/A</v>
      </c>
      <c r="X21" s="155" t="e">
        <f>VLOOKUP(A21,saisie!B$7:AL$26,24,0)</f>
        <v>#N/A</v>
      </c>
      <c r="Y21" s="155" t="e">
        <f>VLOOKUP(A21,saisie!B$7:AL$26,25,0)</f>
        <v>#N/A</v>
      </c>
      <c r="Z21" s="156" t="e">
        <f>VLOOKUP(A21,saisie!B$7:AL$26,26,0)</f>
        <v>#N/A</v>
      </c>
      <c r="AA21" s="157" t="e">
        <f>VLOOKUP(A21,saisie!B$7:AL$26,27,0)</f>
        <v>#N/A</v>
      </c>
      <c r="AB21" s="154" t="e">
        <f>VLOOKUP(A21,saisie!B$7:AL$26,28,0)</f>
        <v>#N/A</v>
      </c>
      <c r="AC21" s="155" t="e">
        <f>VLOOKUP(A21,saisie!B$7:AL$26,29,0)</f>
        <v>#N/A</v>
      </c>
      <c r="AD21" s="155" t="e">
        <f>VLOOKUP(A21,saisie!B$7:AL$26,30,0)</f>
        <v>#N/A</v>
      </c>
      <c r="AE21" s="155" t="e">
        <f>VLOOKUP(A21,saisie!B$7:AL$26,31,0)</f>
        <v>#N/A</v>
      </c>
      <c r="AF21" s="156" t="e">
        <f>VLOOKUP(A21,saisie!B$7:AL$26,32,0)</f>
        <v>#N/A</v>
      </c>
      <c r="AG21" s="157" t="e">
        <f>VLOOKUP(A21,saisie!B$7:AL$26,33,0)</f>
        <v>#N/A</v>
      </c>
      <c r="AH21" s="151" t="e">
        <f>VLOOKUP(A21,saisie!B$7:AL$26,34,0)</f>
        <v>#N/A</v>
      </c>
      <c r="AI21" s="158" t="e">
        <f>VLOOKUP(A21,saisie!B$7:AL$26,35,0)</f>
        <v>#N/A</v>
      </c>
      <c r="AJ21" s="159"/>
    </row>
    <row r="22" spans="1:36" ht="153" customHeight="1" x14ac:dyDescent="0.15">
      <c r="A22" s="151" t="str">
        <f>IF(INFO!B8&gt;15,16,"")</f>
        <v/>
      </c>
      <c r="B22" s="152" t="e">
        <f>VLOOKUP(A22,saisie!B$7:AL$26,2,0)</f>
        <v>#N/A</v>
      </c>
      <c r="C22" s="153" t="e">
        <f>VLOOKUP(A22,saisie!B$7:AL$26,3,0)</f>
        <v>#N/A</v>
      </c>
      <c r="D22" s="154" t="e">
        <f>VLOOKUP(A22,saisie!B$7:AL$26,4,0)</f>
        <v>#N/A</v>
      </c>
      <c r="E22" s="155" t="e">
        <f>VLOOKUP(A22,saisie!B$7:AL$26,5,0)</f>
        <v>#N/A</v>
      </c>
      <c r="F22" s="155" t="e">
        <f>VLOOKUP(A22,saisie!B$7:AL$26,6,0)</f>
        <v>#N/A</v>
      </c>
      <c r="G22" s="155" t="e">
        <f>VLOOKUP(A22,saisie!B$7:AL$26,7,0)</f>
        <v>#N/A</v>
      </c>
      <c r="H22" s="156" t="e">
        <f>VLOOKUP(A22,saisie!B$7:AL$26,8,0)</f>
        <v>#N/A</v>
      </c>
      <c r="I22" s="157" t="e">
        <f>VLOOKUP(A22,saisie!B$7:AL$26,9,0)</f>
        <v>#N/A</v>
      </c>
      <c r="J22" s="154" t="e">
        <f>VLOOKUP(A22,saisie!B$7:AL$26,10,0)</f>
        <v>#N/A</v>
      </c>
      <c r="K22" s="155" t="e">
        <f>VLOOKUP(A22,saisie!B$7:AL$26,11,0)</f>
        <v>#N/A</v>
      </c>
      <c r="L22" s="155" t="e">
        <f>VLOOKUP(A22,saisie!B$7:AL$26,12,0)</f>
        <v>#N/A</v>
      </c>
      <c r="M22" s="155" t="e">
        <f>VLOOKUP(A22,saisie!B$7:AL$26,13,0)</f>
        <v>#N/A</v>
      </c>
      <c r="N22" s="156" t="e">
        <f>VLOOKUP(A22,saisie!B$7:AL$26,14,0)</f>
        <v>#N/A</v>
      </c>
      <c r="O22" s="157" t="e">
        <f>VLOOKUP(A22,saisie!B$7:AL$26,15,0)</f>
        <v>#N/A</v>
      </c>
      <c r="P22" s="154" t="e">
        <f>VLOOKUP(A22,saisie!B$7:AL$26,16,0)</f>
        <v>#N/A</v>
      </c>
      <c r="Q22" s="155" t="e">
        <f>VLOOKUP(A22,saisie!B$7:AL$26,17,0)</f>
        <v>#N/A</v>
      </c>
      <c r="R22" s="155" t="e">
        <f>VLOOKUP(A22,saisie!B$7:AL$26,18,0)</f>
        <v>#N/A</v>
      </c>
      <c r="S22" s="155" t="e">
        <f>VLOOKUP(A22,saisie!B$7:AL$26,19,0)</f>
        <v>#N/A</v>
      </c>
      <c r="T22" s="156" t="e">
        <f>VLOOKUP(A22,saisie!B$7:AL$26,20,0)</f>
        <v>#N/A</v>
      </c>
      <c r="U22" s="157" t="e">
        <f>VLOOKUP(A22,saisie!B$7:AL$26,21,0)</f>
        <v>#N/A</v>
      </c>
      <c r="V22" s="154" t="e">
        <f>VLOOKUP(A22,saisie!B$7:AL$26,22,0)</f>
        <v>#N/A</v>
      </c>
      <c r="W22" s="155" t="e">
        <f>VLOOKUP(A22,saisie!B$7:AL$26,23,0)</f>
        <v>#N/A</v>
      </c>
      <c r="X22" s="155" t="e">
        <f>VLOOKUP(A22,saisie!B$7:AL$26,24,0)</f>
        <v>#N/A</v>
      </c>
      <c r="Y22" s="155" t="e">
        <f>VLOOKUP(A22,saisie!B$7:AL$26,25,0)</f>
        <v>#N/A</v>
      </c>
      <c r="Z22" s="156" t="e">
        <f>VLOOKUP(A22,saisie!B$7:AL$26,26,0)</f>
        <v>#N/A</v>
      </c>
      <c r="AA22" s="157" t="e">
        <f>VLOOKUP(A22,saisie!B$7:AL$26,27,0)</f>
        <v>#N/A</v>
      </c>
      <c r="AB22" s="154" t="e">
        <f>VLOOKUP(A22,saisie!B$7:AL$26,28,0)</f>
        <v>#N/A</v>
      </c>
      <c r="AC22" s="155" t="e">
        <f>VLOOKUP(A22,saisie!B$7:AL$26,29,0)</f>
        <v>#N/A</v>
      </c>
      <c r="AD22" s="155" t="e">
        <f>VLOOKUP(A22,saisie!B$7:AL$26,30,0)</f>
        <v>#N/A</v>
      </c>
      <c r="AE22" s="155" t="e">
        <f>VLOOKUP(A22,saisie!B$7:AL$26,31,0)</f>
        <v>#N/A</v>
      </c>
      <c r="AF22" s="156" t="e">
        <f>VLOOKUP(A22,saisie!B$7:AL$26,32,0)</f>
        <v>#N/A</v>
      </c>
      <c r="AG22" s="157" t="e">
        <f>VLOOKUP(A22,saisie!B$7:AL$26,33,0)</f>
        <v>#N/A</v>
      </c>
      <c r="AH22" s="151" t="e">
        <f>VLOOKUP(A22,saisie!B$7:AL$26,34,0)</f>
        <v>#N/A</v>
      </c>
      <c r="AI22" s="158" t="e">
        <f>VLOOKUP(A22,saisie!B$7:AL$26,35,0)</f>
        <v>#N/A</v>
      </c>
      <c r="AJ22" s="159"/>
    </row>
    <row r="23" spans="1:36" ht="153" customHeight="1" x14ac:dyDescent="0.15">
      <c r="A23" s="151" t="str">
        <f>IF(INFO!B8&gt;16,17,"")</f>
        <v/>
      </c>
      <c r="B23" s="152" t="e">
        <f>VLOOKUP(A23,saisie!B$7:AL$26,2,0)</f>
        <v>#N/A</v>
      </c>
      <c r="C23" s="153" t="e">
        <f>VLOOKUP(A23,saisie!B$7:AL$26,3,0)</f>
        <v>#N/A</v>
      </c>
      <c r="D23" s="154" t="e">
        <f>VLOOKUP(A23,saisie!B$7:AL$26,4,0)</f>
        <v>#N/A</v>
      </c>
      <c r="E23" s="155" t="e">
        <f>VLOOKUP(A23,saisie!B$7:AL$26,5,0)</f>
        <v>#N/A</v>
      </c>
      <c r="F23" s="155" t="e">
        <f>VLOOKUP(A23,saisie!B$7:AL$26,6,0)</f>
        <v>#N/A</v>
      </c>
      <c r="G23" s="155" t="e">
        <f>VLOOKUP(A23,saisie!B$7:AL$26,7,0)</f>
        <v>#N/A</v>
      </c>
      <c r="H23" s="156" t="e">
        <f>VLOOKUP(A23,saisie!B$7:AL$26,8,0)</f>
        <v>#N/A</v>
      </c>
      <c r="I23" s="157" t="e">
        <f>VLOOKUP(A23,saisie!B$7:AL$26,9,0)</f>
        <v>#N/A</v>
      </c>
      <c r="J23" s="154" t="e">
        <f>VLOOKUP(A23,saisie!B$7:AL$26,10,0)</f>
        <v>#N/A</v>
      </c>
      <c r="K23" s="155" t="e">
        <f>VLOOKUP(A23,saisie!B$7:AL$26,11,0)</f>
        <v>#N/A</v>
      </c>
      <c r="L23" s="155" t="e">
        <f>VLOOKUP(A23,saisie!B$7:AL$26,12,0)</f>
        <v>#N/A</v>
      </c>
      <c r="M23" s="155" t="e">
        <f>VLOOKUP(A23,saisie!B$7:AL$26,13,0)</f>
        <v>#N/A</v>
      </c>
      <c r="N23" s="156" t="e">
        <f>VLOOKUP(A23,saisie!B$7:AL$26,14,0)</f>
        <v>#N/A</v>
      </c>
      <c r="O23" s="157" t="e">
        <f>VLOOKUP(A23,saisie!B$7:AL$26,15,0)</f>
        <v>#N/A</v>
      </c>
      <c r="P23" s="154" t="e">
        <f>VLOOKUP(A23,saisie!B$7:AL$26,16,0)</f>
        <v>#N/A</v>
      </c>
      <c r="Q23" s="155" t="e">
        <f>VLOOKUP(A23,saisie!B$7:AL$26,17,0)</f>
        <v>#N/A</v>
      </c>
      <c r="R23" s="155" t="e">
        <f>VLOOKUP(A23,saisie!B$7:AL$26,18,0)</f>
        <v>#N/A</v>
      </c>
      <c r="S23" s="155" t="e">
        <f>VLOOKUP(A23,saisie!B$7:AL$26,19,0)</f>
        <v>#N/A</v>
      </c>
      <c r="T23" s="156" t="e">
        <f>VLOOKUP(A23,saisie!B$7:AL$26,20,0)</f>
        <v>#N/A</v>
      </c>
      <c r="U23" s="157" t="e">
        <f>VLOOKUP(A23,saisie!B$7:AL$26,21,0)</f>
        <v>#N/A</v>
      </c>
      <c r="V23" s="154" t="e">
        <f>VLOOKUP(A23,saisie!B$7:AL$26,22,0)</f>
        <v>#N/A</v>
      </c>
      <c r="W23" s="155" t="e">
        <f>VLOOKUP(A23,saisie!B$7:AL$26,23,0)</f>
        <v>#N/A</v>
      </c>
      <c r="X23" s="155" t="e">
        <f>VLOOKUP(A23,saisie!B$7:AL$26,24,0)</f>
        <v>#N/A</v>
      </c>
      <c r="Y23" s="155" t="e">
        <f>VLOOKUP(A23,saisie!B$7:AL$26,25,0)</f>
        <v>#N/A</v>
      </c>
      <c r="Z23" s="156" t="e">
        <f>VLOOKUP(A23,saisie!B$7:AL$26,26,0)</f>
        <v>#N/A</v>
      </c>
      <c r="AA23" s="157" t="e">
        <f>VLOOKUP(A23,saisie!B$7:AL$26,27,0)</f>
        <v>#N/A</v>
      </c>
      <c r="AB23" s="154" t="e">
        <f>VLOOKUP(A23,saisie!B$7:AL$26,28,0)</f>
        <v>#N/A</v>
      </c>
      <c r="AC23" s="155" t="e">
        <f>VLOOKUP(A23,saisie!B$7:AL$26,29,0)</f>
        <v>#N/A</v>
      </c>
      <c r="AD23" s="155" t="e">
        <f>VLOOKUP(A23,saisie!B$7:AL$26,30,0)</f>
        <v>#N/A</v>
      </c>
      <c r="AE23" s="155" t="e">
        <f>VLOOKUP(A23,saisie!B$7:AL$26,31,0)</f>
        <v>#N/A</v>
      </c>
      <c r="AF23" s="156" t="e">
        <f>VLOOKUP(A23,saisie!B$7:AL$26,32,0)</f>
        <v>#N/A</v>
      </c>
      <c r="AG23" s="157" t="e">
        <f>VLOOKUP(A23,saisie!B$7:AL$26,33,0)</f>
        <v>#N/A</v>
      </c>
      <c r="AH23" s="151" t="e">
        <f>VLOOKUP(A23,saisie!B$7:AL$26,34,0)</f>
        <v>#N/A</v>
      </c>
      <c r="AI23" s="158" t="e">
        <f>VLOOKUP(A23,saisie!B$7:AL$26,35,0)</f>
        <v>#N/A</v>
      </c>
      <c r="AJ23" s="159"/>
    </row>
    <row r="24" spans="1:36" ht="153" customHeight="1" x14ac:dyDescent="0.15">
      <c r="A24" s="151" t="str">
        <f>IF(INFO!B8&gt;17,18,"")</f>
        <v/>
      </c>
      <c r="B24" s="152" t="e">
        <f>VLOOKUP(A24,saisie!B$7:AL$26,2,0)</f>
        <v>#N/A</v>
      </c>
      <c r="C24" s="153" t="e">
        <f>VLOOKUP(A24,saisie!B$7:AL$26,3,0)</f>
        <v>#N/A</v>
      </c>
      <c r="D24" s="154" t="e">
        <f>VLOOKUP(A24,saisie!B$7:AL$26,4,0)</f>
        <v>#N/A</v>
      </c>
      <c r="E24" s="155" t="e">
        <f>VLOOKUP(A24,saisie!B$7:AL$26,5,0)</f>
        <v>#N/A</v>
      </c>
      <c r="F24" s="155" t="e">
        <f>VLOOKUP(A24,saisie!B$7:AL$26,6,0)</f>
        <v>#N/A</v>
      </c>
      <c r="G24" s="155" t="e">
        <f>VLOOKUP(A24,saisie!B$7:AL$26,7,0)</f>
        <v>#N/A</v>
      </c>
      <c r="H24" s="156" t="e">
        <f>VLOOKUP(A24,saisie!B$7:AL$26,8,0)</f>
        <v>#N/A</v>
      </c>
      <c r="I24" s="157" t="e">
        <f>VLOOKUP(A24,saisie!B$7:AL$26,9,0)</f>
        <v>#N/A</v>
      </c>
      <c r="J24" s="154" t="e">
        <f>VLOOKUP(A24,saisie!B$7:AL$26,10,0)</f>
        <v>#N/A</v>
      </c>
      <c r="K24" s="155" t="e">
        <f>VLOOKUP(A24,saisie!B$7:AL$26,11,0)</f>
        <v>#N/A</v>
      </c>
      <c r="L24" s="155" t="e">
        <f>VLOOKUP(A24,saisie!B$7:AL$26,12,0)</f>
        <v>#N/A</v>
      </c>
      <c r="M24" s="155" t="e">
        <f>VLOOKUP(A24,saisie!B$7:AL$26,13,0)</f>
        <v>#N/A</v>
      </c>
      <c r="N24" s="156" t="e">
        <f>VLOOKUP(A24,saisie!B$7:AL$26,14,0)</f>
        <v>#N/A</v>
      </c>
      <c r="O24" s="157" t="e">
        <f>VLOOKUP(A24,saisie!B$7:AL$26,15,0)</f>
        <v>#N/A</v>
      </c>
      <c r="P24" s="154" t="e">
        <f>VLOOKUP(A24,saisie!B$7:AL$26,16,0)</f>
        <v>#N/A</v>
      </c>
      <c r="Q24" s="155" t="e">
        <f>VLOOKUP(A24,saisie!B$7:AL$26,17,0)</f>
        <v>#N/A</v>
      </c>
      <c r="R24" s="155" t="e">
        <f>VLOOKUP(A24,saisie!B$7:AL$26,18,0)</f>
        <v>#N/A</v>
      </c>
      <c r="S24" s="155" t="e">
        <f>VLOOKUP(A24,saisie!B$7:AL$26,19,0)</f>
        <v>#N/A</v>
      </c>
      <c r="T24" s="156" t="e">
        <f>VLOOKUP(A24,saisie!B$7:AL$26,20,0)</f>
        <v>#N/A</v>
      </c>
      <c r="U24" s="157" t="e">
        <f>VLOOKUP(A24,saisie!B$7:AL$26,21,0)</f>
        <v>#N/A</v>
      </c>
      <c r="V24" s="154" t="e">
        <f>VLOOKUP(A24,saisie!B$7:AL$26,22,0)</f>
        <v>#N/A</v>
      </c>
      <c r="W24" s="155" t="e">
        <f>VLOOKUP(A24,saisie!B$7:AL$26,23,0)</f>
        <v>#N/A</v>
      </c>
      <c r="X24" s="155" t="e">
        <f>VLOOKUP(A24,saisie!B$7:AL$26,24,0)</f>
        <v>#N/A</v>
      </c>
      <c r="Y24" s="155" t="e">
        <f>VLOOKUP(A24,saisie!B$7:AL$26,25,0)</f>
        <v>#N/A</v>
      </c>
      <c r="Z24" s="156" t="e">
        <f>VLOOKUP(A24,saisie!B$7:AL$26,26,0)</f>
        <v>#N/A</v>
      </c>
      <c r="AA24" s="157" t="e">
        <f>VLOOKUP(A24,saisie!B$7:AL$26,27,0)</f>
        <v>#N/A</v>
      </c>
      <c r="AB24" s="154" t="e">
        <f>VLOOKUP(A24,saisie!B$7:AL$26,28,0)</f>
        <v>#N/A</v>
      </c>
      <c r="AC24" s="155" t="e">
        <f>VLOOKUP(A24,saisie!B$7:AL$26,29,0)</f>
        <v>#N/A</v>
      </c>
      <c r="AD24" s="155" t="e">
        <f>VLOOKUP(A24,saisie!B$7:AL$26,30,0)</f>
        <v>#N/A</v>
      </c>
      <c r="AE24" s="155" t="e">
        <f>VLOOKUP(A24,saisie!B$7:AL$26,31,0)</f>
        <v>#N/A</v>
      </c>
      <c r="AF24" s="156" t="e">
        <f>VLOOKUP(A24,saisie!B$7:AL$26,32,0)</f>
        <v>#N/A</v>
      </c>
      <c r="AG24" s="157" t="e">
        <f>VLOOKUP(A24,saisie!B$7:AL$26,33,0)</f>
        <v>#N/A</v>
      </c>
      <c r="AH24" s="151" t="e">
        <f>VLOOKUP(A24,saisie!B$7:AL$26,34,0)</f>
        <v>#N/A</v>
      </c>
      <c r="AI24" s="158" t="e">
        <f>VLOOKUP(A24,saisie!B$7:AL$26,35,0)</f>
        <v>#N/A</v>
      </c>
      <c r="AJ24" s="159"/>
    </row>
    <row r="25" spans="1:36" ht="153" customHeight="1" x14ac:dyDescent="0.15">
      <c r="A25" s="151" t="str">
        <f>IF(INFO!B8&gt;18,19,"")</f>
        <v/>
      </c>
      <c r="B25" s="152" t="e">
        <f>VLOOKUP(A25,saisie!B$7:AL$26,2,0)</f>
        <v>#N/A</v>
      </c>
      <c r="C25" s="153" t="e">
        <f>VLOOKUP(A25,saisie!B$7:AL$26,3,0)</f>
        <v>#N/A</v>
      </c>
      <c r="D25" s="154" t="e">
        <f>VLOOKUP(A25,saisie!B$7:AL$26,4,0)</f>
        <v>#N/A</v>
      </c>
      <c r="E25" s="155" t="e">
        <f>VLOOKUP(A25,saisie!B$7:AL$26,5,0)</f>
        <v>#N/A</v>
      </c>
      <c r="F25" s="155" t="e">
        <f>VLOOKUP(A25,saisie!B$7:AL$26,6,0)</f>
        <v>#N/A</v>
      </c>
      <c r="G25" s="155" t="e">
        <f>VLOOKUP(A25,saisie!B$7:AL$26,7,0)</f>
        <v>#N/A</v>
      </c>
      <c r="H25" s="156" t="e">
        <f>VLOOKUP(A25,saisie!B$7:AL$26,8,0)</f>
        <v>#N/A</v>
      </c>
      <c r="I25" s="157" t="e">
        <f>VLOOKUP(A25,saisie!B$7:AL$26,9,0)</f>
        <v>#N/A</v>
      </c>
      <c r="J25" s="154" t="e">
        <f>VLOOKUP(A25,saisie!B$7:AL$26,10,0)</f>
        <v>#N/A</v>
      </c>
      <c r="K25" s="155" t="e">
        <f>VLOOKUP(A25,saisie!B$7:AL$26,11,0)</f>
        <v>#N/A</v>
      </c>
      <c r="L25" s="155" t="e">
        <f>VLOOKUP(A25,saisie!B$7:AL$26,12,0)</f>
        <v>#N/A</v>
      </c>
      <c r="M25" s="155" t="e">
        <f>VLOOKUP(A25,saisie!B$7:AL$26,13,0)</f>
        <v>#N/A</v>
      </c>
      <c r="N25" s="156" t="e">
        <f>VLOOKUP(A25,saisie!B$7:AL$26,14,0)</f>
        <v>#N/A</v>
      </c>
      <c r="O25" s="157" t="e">
        <f>VLOOKUP(A25,saisie!B$7:AL$26,15,0)</f>
        <v>#N/A</v>
      </c>
      <c r="P25" s="154" t="e">
        <f>VLOOKUP(A25,saisie!B$7:AL$26,16,0)</f>
        <v>#N/A</v>
      </c>
      <c r="Q25" s="155" t="e">
        <f>VLOOKUP(A25,saisie!B$7:AL$26,17,0)</f>
        <v>#N/A</v>
      </c>
      <c r="R25" s="155" t="e">
        <f>VLOOKUP(A25,saisie!B$7:AL$26,18,0)</f>
        <v>#N/A</v>
      </c>
      <c r="S25" s="155" t="e">
        <f>VLOOKUP(A25,saisie!B$7:AL$26,19,0)</f>
        <v>#N/A</v>
      </c>
      <c r="T25" s="156" t="e">
        <f>VLOOKUP(A25,saisie!B$7:AL$26,20,0)</f>
        <v>#N/A</v>
      </c>
      <c r="U25" s="157" t="e">
        <f>VLOOKUP(A25,saisie!B$7:AL$26,21,0)</f>
        <v>#N/A</v>
      </c>
      <c r="V25" s="154" t="e">
        <f>VLOOKUP(A25,saisie!B$7:AL$26,22,0)</f>
        <v>#N/A</v>
      </c>
      <c r="W25" s="155" t="e">
        <f>VLOOKUP(A25,saisie!B$7:AL$26,23,0)</f>
        <v>#N/A</v>
      </c>
      <c r="X25" s="155" t="e">
        <f>VLOOKUP(A25,saisie!B$7:AL$26,24,0)</f>
        <v>#N/A</v>
      </c>
      <c r="Y25" s="155" t="e">
        <f>VLOOKUP(A25,saisie!B$7:AL$26,25,0)</f>
        <v>#N/A</v>
      </c>
      <c r="Z25" s="156" t="e">
        <f>VLOOKUP(A25,saisie!B$7:AL$26,26,0)</f>
        <v>#N/A</v>
      </c>
      <c r="AA25" s="157" t="e">
        <f>VLOOKUP(A25,saisie!B$7:AL$26,27,0)</f>
        <v>#N/A</v>
      </c>
      <c r="AB25" s="154" t="e">
        <f>VLOOKUP(A25,saisie!B$7:AL$26,28,0)</f>
        <v>#N/A</v>
      </c>
      <c r="AC25" s="155" t="e">
        <f>VLOOKUP(A25,saisie!B$7:AL$26,29,0)</f>
        <v>#N/A</v>
      </c>
      <c r="AD25" s="155" t="e">
        <f>VLOOKUP(A25,saisie!B$7:AL$26,30,0)</f>
        <v>#N/A</v>
      </c>
      <c r="AE25" s="155" t="e">
        <f>VLOOKUP(A25,saisie!B$7:AL$26,31,0)</f>
        <v>#N/A</v>
      </c>
      <c r="AF25" s="156" t="e">
        <f>VLOOKUP(A25,saisie!B$7:AL$26,32,0)</f>
        <v>#N/A</v>
      </c>
      <c r="AG25" s="157" t="e">
        <f>VLOOKUP(A25,saisie!B$7:AL$26,33,0)</f>
        <v>#N/A</v>
      </c>
      <c r="AH25" s="151" t="e">
        <f>VLOOKUP(A25,saisie!B$7:AL$26,34,0)</f>
        <v>#N/A</v>
      </c>
      <c r="AI25" s="158" t="e">
        <f>VLOOKUP(A25,saisie!B$7:AL$26,35,0)</f>
        <v>#N/A</v>
      </c>
      <c r="AJ25" s="159"/>
    </row>
    <row r="26" spans="1:36" ht="153" customHeight="1" x14ac:dyDescent="0.15">
      <c r="A26" s="151" t="str">
        <f>IF(INFO!B8&gt;19,20,"")</f>
        <v/>
      </c>
      <c r="B26" s="152" t="e">
        <f>VLOOKUP(A26,saisie!B$7:AL$26,2,0)</f>
        <v>#N/A</v>
      </c>
      <c r="C26" s="153" t="e">
        <f>VLOOKUP(A26,saisie!B$7:AL$26,3,0)</f>
        <v>#N/A</v>
      </c>
      <c r="D26" s="154" t="e">
        <f>VLOOKUP(A26,saisie!B$7:AL$26,4,0)</f>
        <v>#N/A</v>
      </c>
      <c r="E26" s="155" t="e">
        <f>VLOOKUP(A26,saisie!B$7:AL$26,5,0)</f>
        <v>#N/A</v>
      </c>
      <c r="F26" s="155" t="e">
        <f>VLOOKUP(A26,saisie!B$7:AL$26,6,0)</f>
        <v>#N/A</v>
      </c>
      <c r="G26" s="155" t="e">
        <f>VLOOKUP(A26,saisie!B$7:AL$26,7,0)</f>
        <v>#N/A</v>
      </c>
      <c r="H26" s="156" t="e">
        <f>VLOOKUP(A26,saisie!B$7:AL$26,8,0)</f>
        <v>#N/A</v>
      </c>
      <c r="I26" s="157" t="e">
        <f>VLOOKUP(A26,saisie!B$7:AL$26,9,0)</f>
        <v>#N/A</v>
      </c>
      <c r="J26" s="154" t="e">
        <f>VLOOKUP(A26,saisie!B$7:AL$26,10,0)</f>
        <v>#N/A</v>
      </c>
      <c r="K26" s="155" t="e">
        <f>VLOOKUP(A26,saisie!B$7:AL$26,11,0)</f>
        <v>#N/A</v>
      </c>
      <c r="L26" s="155" t="e">
        <f>VLOOKUP(A26,saisie!B$7:AL$26,12,0)</f>
        <v>#N/A</v>
      </c>
      <c r="M26" s="155" t="e">
        <f>VLOOKUP(A26,saisie!B$7:AL$26,13,0)</f>
        <v>#N/A</v>
      </c>
      <c r="N26" s="156" t="e">
        <f>VLOOKUP(A26,saisie!B$7:AL$26,14,0)</f>
        <v>#N/A</v>
      </c>
      <c r="O26" s="157" t="e">
        <f>VLOOKUP(A26,saisie!B$7:AL$26,15,0)</f>
        <v>#N/A</v>
      </c>
      <c r="P26" s="154" t="e">
        <f>VLOOKUP(A26,saisie!B$7:AL$26,16,0)</f>
        <v>#N/A</v>
      </c>
      <c r="Q26" s="155" t="e">
        <f>VLOOKUP(A26,saisie!B$7:AL$26,17,0)</f>
        <v>#N/A</v>
      </c>
      <c r="R26" s="155" t="e">
        <f>VLOOKUP(A26,saisie!B$7:AL$26,18,0)</f>
        <v>#N/A</v>
      </c>
      <c r="S26" s="155" t="e">
        <f>VLOOKUP(A26,saisie!B$7:AL$26,19,0)</f>
        <v>#N/A</v>
      </c>
      <c r="T26" s="156" t="e">
        <f>VLOOKUP(A26,saisie!B$7:AL$26,20,0)</f>
        <v>#N/A</v>
      </c>
      <c r="U26" s="157" t="e">
        <f>VLOOKUP(A26,saisie!B$7:AL$26,21,0)</f>
        <v>#N/A</v>
      </c>
      <c r="V26" s="154" t="e">
        <f>VLOOKUP(A26,saisie!B$7:AL$26,22,0)</f>
        <v>#N/A</v>
      </c>
      <c r="W26" s="155" t="e">
        <f>VLOOKUP(A26,saisie!B$7:AL$26,23,0)</f>
        <v>#N/A</v>
      </c>
      <c r="X26" s="155" t="e">
        <f>VLOOKUP(A26,saisie!B$7:AL$26,24,0)</f>
        <v>#N/A</v>
      </c>
      <c r="Y26" s="155" t="e">
        <f>VLOOKUP(A26,saisie!B$7:AL$26,25,0)</f>
        <v>#N/A</v>
      </c>
      <c r="Z26" s="156" t="e">
        <f>VLOOKUP(A26,saisie!B$7:AL$26,26,0)</f>
        <v>#N/A</v>
      </c>
      <c r="AA26" s="157" t="e">
        <f>VLOOKUP(A26,saisie!B$7:AL$26,27,0)</f>
        <v>#N/A</v>
      </c>
      <c r="AB26" s="154" t="e">
        <f>VLOOKUP(A26,saisie!B$7:AL$26,28,0)</f>
        <v>#N/A</v>
      </c>
      <c r="AC26" s="155" t="e">
        <f>VLOOKUP(A26,saisie!B$7:AL$26,29,0)</f>
        <v>#N/A</v>
      </c>
      <c r="AD26" s="155" t="e">
        <f>VLOOKUP(A26,saisie!B$7:AL$26,30,0)</f>
        <v>#N/A</v>
      </c>
      <c r="AE26" s="155" t="e">
        <f>VLOOKUP(A26,saisie!B$7:AL$26,31,0)</f>
        <v>#N/A</v>
      </c>
      <c r="AF26" s="156" t="e">
        <f>VLOOKUP(A26,saisie!B$7:AL$26,32,0)</f>
        <v>#N/A</v>
      </c>
      <c r="AG26" s="157" t="e">
        <f>VLOOKUP(A26,saisie!B$7:AL$26,33,0)</f>
        <v>#N/A</v>
      </c>
      <c r="AH26" s="151" t="e">
        <f>VLOOKUP(A26,saisie!B$7:AL$26,34,0)</f>
        <v>#N/A</v>
      </c>
      <c r="AI26" s="158" t="e">
        <f>VLOOKUP(A26,saisie!B$7:AL$26,35,0)</f>
        <v>#N/A</v>
      </c>
      <c r="AJ26" s="159"/>
    </row>
    <row r="27" spans="1:36" ht="109" customHeight="1" x14ac:dyDescent="0.15">
      <c r="A27" s="160" t="str">
        <f>IF(INFO!B8&gt;20,21,"")</f>
        <v/>
      </c>
      <c r="B27" s="152" t="e">
        <f>VLOOKUP(A27,saisie!B$7:AL$26,2,0)</f>
        <v>#N/A</v>
      </c>
      <c r="C27" s="153" t="e">
        <f>VLOOKUP(A27,saisie!B$7:AL$26,3,0)</f>
        <v>#N/A</v>
      </c>
      <c r="D27" s="154" t="e">
        <f>VLOOKUP(A27,saisie!B$7:AL$26,4,0)</f>
        <v>#N/A</v>
      </c>
      <c r="E27" s="155" t="e">
        <f>VLOOKUP(A27,saisie!B$7:AL$26,5,0)</f>
        <v>#N/A</v>
      </c>
      <c r="F27" s="155" t="e">
        <f>VLOOKUP(A27,saisie!B$7:AL$26,6,0)</f>
        <v>#N/A</v>
      </c>
      <c r="G27" s="155" t="e">
        <f>VLOOKUP(A27,saisie!B$7:AL$26,7,0)</f>
        <v>#N/A</v>
      </c>
      <c r="H27" s="156" t="e">
        <f>VLOOKUP(A27,saisie!B$7:AL$26,8,0)</f>
        <v>#N/A</v>
      </c>
      <c r="I27" s="157" t="e">
        <f>VLOOKUP(A27,saisie!B$7:AL$26,9,0)</f>
        <v>#N/A</v>
      </c>
      <c r="J27" s="154" t="e">
        <f>VLOOKUP(A27,saisie!B$7:AL$26,10,0)</f>
        <v>#N/A</v>
      </c>
      <c r="K27" s="155" t="e">
        <f>VLOOKUP(A27,saisie!B$7:AL$26,11,0)</f>
        <v>#N/A</v>
      </c>
      <c r="L27" s="155" t="e">
        <f>VLOOKUP(A27,saisie!B$7:AL$26,12,0)</f>
        <v>#N/A</v>
      </c>
      <c r="M27" s="155" t="e">
        <f>VLOOKUP(A27,saisie!B$7:AL$26,13,0)</f>
        <v>#N/A</v>
      </c>
      <c r="N27" s="156" t="e">
        <f>VLOOKUP(A27,saisie!B$7:AL$26,14,0)</f>
        <v>#N/A</v>
      </c>
      <c r="O27" s="157" t="e">
        <f>VLOOKUP(A27,saisie!B$7:AL$26,15,0)</f>
        <v>#N/A</v>
      </c>
      <c r="P27" s="154" t="e">
        <f>VLOOKUP(A27,saisie!B$7:AL$26,16,0)</f>
        <v>#N/A</v>
      </c>
      <c r="Q27" s="155" t="e">
        <f>VLOOKUP(A27,saisie!B$7:AL$26,17,0)</f>
        <v>#N/A</v>
      </c>
      <c r="R27" s="155" t="e">
        <f>VLOOKUP(A27,saisie!B$7:AL$26,18,0)</f>
        <v>#N/A</v>
      </c>
      <c r="S27" s="155" t="e">
        <f>VLOOKUP(A27,saisie!B$7:AL$26,19,0)</f>
        <v>#N/A</v>
      </c>
      <c r="T27" s="156" t="e">
        <f>VLOOKUP(A27,saisie!B$7:AL$26,20,0)</f>
        <v>#N/A</v>
      </c>
      <c r="U27" s="157" t="e">
        <f>VLOOKUP(A27,saisie!B$7:AL$26,21,0)</f>
        <v>#N/A</v>
      </c>
      <c r="V27" s="154" t="e">
        <f>VLOOKUP(A27,saisie!B$7:AL$26,22,0)</f>
        <v>#N/A</v>
      </c>
      <c r="W27" s="155" t="e">
        <f>VLOOKUP(A27,saisie!B$7:AL$26,23,0)</f>
        <v>#N/A</v>
      </c>
      <c r="X27" s="155" t="e">
        <f>VLOOKUP(A27,saisie!B$7:AL$26,24,0)</f>
        <v>#N/A</v>
      </c>
      <c r="Y27" s="155" t="e">
        <f>VLOOKUP(A27,saisie!B$7:AL$26,25,0)</f>
        <v>#N/A</v>
      </c>
      <c r="Z27" s="156" t="e">
        <f>VLOOKUP(A27,saisie!B$7:AL$26,26,0)</f>
        <v>#N/A</v>
      </c>
      <c r="AA27" s="157" t="e">
        <f>VLOOKUP(A27,saisie!B$7:AL$26,27,0)</f>
        <v>#N/A</v>
      </c>
      <c r="AB27" s="154" t="e">
        <f>VLOOKUP(A27,saisie!B$7:AL$26,28,0)</f>
        <v>#N/A</v>
      </c>
      <c r="AC27" s="155" t="e">
        <f>VLOOKUP(A27,saisie!B$7:AL$26,29,0)</f>
        <v>#N/A</v>
      </c>
      <c r="AD27" s="155" t="e">
        <f>VLOOKUP(A27,saisie!B$7:AL$26,30,0)</f>
        <v>#N/A</v>
      </c>
      <c r="AE27" s="155" t="e">
        <f>VLOOKUP(A27,saisie!B$7:AL$26,31,0)</f>
        <v>#N/A</v>
      </c>
      <c r="AF27" s="156" t="e">
        <f>VLOOKUP(A27,saisie!B$7:AL$26,32,0)</f>
        <v>#N/A</v>
      </c>
      <c r="AG27" s="157" t="e">
        <f>VLOOKUP(A27,saisie!B$7:AL$26,33,0)</f>
        <v>#N/A</v>
      </c>
      <c r="AH27" s="161" t="e">
        <f>VLOOKUP(A27,saisie!B$7:AL$26,34,0)</f>
        <v>#N/A</v>
      </c>
      <c r="AI27" s="158" t="e">
        <f>VLOOKUP(A27,saisie!B$7:AL$26,35,0)</f>
        <v>#N/A</v>
      </c>
      <c r="AJ27" s="159"/>
    </row>
    <row r="28" spans="1:36" ht="109" customHeight="1" x14ac:dyDescent="0.15">
      <c r="A28" s="160" t="str">
        <f>IF(INFO!B8&gt;21,22,"")</f>
        <v/>
      </c>
      <c r="B28" s="152" t="e">
        <f>VLOOKUP(A28,saisie!B$7:AL$26,2,0)</f>
        <v>#N/A</v>
      </c>
      <c r="C28" s="153" t="e">
        <f>VLOOKUP(A28,saisie!B$7:AL$26,3,0)</f>
        <v>#N/A</v>
      </c>
      <c r="D28" s="154" t="e">
        <f>VLOOKUP(A28,saisie!B$7:AL$26,4,0)</f>
        <v>#N/A</v>
      </c>
      <c r="E28" s="155" t="e">
        <f>VLOOKUP(A28,saisie!B$7:AL$26,5,0)</f>
        <v>#N/A</v>
      </c>
      <c r="F28" s="155" t="e">
        <f>VLOOKUP(A28,saisie!B$7:AL$26,6,0)</f>
        <v>#N/A</v>
      </c>
      <c r="G28" s="155" t="e">
        <f>VLOOKUP(A28,saisie!B$7:AL$26,7,0)</f>
        <v>#N/A</v>
      </c>
      <c r="H28" s="156" t="e">
        <f>VLOOKUP(A28,saisie!B$7:AL$26,8,0)</f>
        <v>#N/A</v>
      </c>
      <c r="I28" s="157" t="e">
        <f>VLOOKUP(A28,saisie!B$7:AL$26,9,0)</f>
        <v>#N/A</v>
      </c>
      <c r="J28" s="154" t="e">
        <f>VLOOKUP(A28,saisie!B$7:AL$26,10,0)</f>
        <v>#N/A</v>
      </c>
      <c r="K28" s="155" t="e">
        <f>VLOOKUP(A28,saisie!B$7:AL$26,11,0)</f>
        <v>#N/A</v>
      </c>
      <c r="L28" s="155" t="e">
        <f>VLOOKUP(A28,saisie!B$7:AL$26,12,0)</f>
        <v>#N/A</v>
      </c>
      <c r="M28" s="155" t="e">
        <f>VLOOKUP(A28,saisie!B$7:AL$26,13,0)</f>
        <v>#N/A</v>
      </c>
      <c r="N28" s="156" t="e">
        <f>VLOOKUP(A28,saisie!B$7:AL$26,14,0)</f>
        <v>#N/A</v>
      </c>
      <c r="O28" s="157" t="e">
        <f>VLOOKUP(A28,saisie!B$7:AL$26,15,0)</f>
        <v>#N/A</v>
      </c>
      <c r="P28" s="154" t="e">
        <f>VLOOKUP(A28,saisie!B$7:AL$26,16,0)</f>
        <v>#N/A</v>
      </c>
      <c r="Q28" s="155" t="e">
        <f>VLOOKUP(A28,saisie!B$7:AL$26,17,0)</f>
        <v>#N/A</v>
      </c>
      <c r="R28" s="155" t="e">
        <f>VLOOKUP(A28,saisie!B$7:AL$26,18,0)</f>
        <v>#N/A</v>
      </c>
      <c r="S28" s="155" t="e">
        <f>VLOOKUP(A28,saisie!B$7:AL$26,19,0)</f>
        <v>#N/A</v>
      </c>
      <c r="T28" s="156" t="e">
        <f>VLOOKUP(A28,saisie!B$7:AL$26,20,0)</f>
        <v>#N/A</v>
      </c>
      <c r="U28" s="157" t="e">
        <f>VLOOKUP(A28,saisie!B$7:AL$26,21,0)</f>
        <v>#N/A</v>
      </c>
      <c r="V28" s="154" t="e">
        <f>VLOOKUP(A28,saisie!B$7:AL$26,22,0)</f>
        <v>#N/A</v>
      </c>
      <c r="W28" s="155" t="e">
        <f>VLOOKUP(A28,saisie!B$7:AL$26,23,0)</f>
        <v>#N/A</v>
      </c>
      <c r="X28" s="155" t="e">
        <f>VLOOKUP(A28,saisie!B$7:AL$26,24,0)</f>
        <v>#N/A</v>
      </c>
      <c r="Y28" s="155" t="e">
        <f>VLOOKUP(A28,saisie!B$7:AL$26,25,0)</f>
        <v>#N/A</v>
      </c>
      <c r="Z28" s="156" t="e">
        <f>VLOOKUP(A28,saisie!B$7:AL$26,26,0)</f>
        <v>#N/A</v>
      </c>
      <c r="AA28" s="157" t="e">
        <f>VLOOKUP(A28,saisie!B$7:AL$26,27,0)</f>
        <v>#N/A</v>
      </c>
      <c r="AB28" s="154" t="e">
        <f>VLOOKUP(A28,saisie!B$7:AL$26,28,0)</f>
        <v>#N/A</v>
      </c>
      <c r="AC28" s="155" t="e">
        <f>VLOOKUP(A28,saisie!B$7:AL$26,29,0)</f>
        <v>#N/A</v>
      </c>
      <c r="AD28" s="155" t="e">
        <f>VLOOKUP(A28,saisie!B$7:AL$26,30,0)</f>
        <v>#N/A</v>
      </c>
      <c r="AE28" s="155" t="e">
        <f>VLOOKUP(A28,saisie!B$7:AL$26,31,0)</f>
        <v>#N/A</v>
      </c>
      <c r="AF28" s="156" t="e">
        <f>VLOOKUP(A28,saisie!B$7:AL$26,32,0)</f>
        <v>#N/A</v>
      </c>
      <c r="AG28" s="157" t="e">
        <f>VLOOKUP(A28,saisie!B$7:AL$26,33,0)</f>
        <v>#N/A</v>
      </c>
      <c r="AH28" s="161" t="e">
        <f>VLOOKUP(A28,saisie!B$7:AL$26,34,0)</f>
        <v>#N/A</v>
      </c>
      <c r="AI28" s="158" t="e">
        <f>VLOOKUP(A28,saisie!B$7:AL$26,35,0)</f>
        <v>#N/A</v>
      </c>
      <c r="AJ28" s="159"/>
    </row>
    <row r="29" spans="1:36" ht="109" customHeight="1" x14ac:dyDescent="0.15">
      <c r="A29" s="160" t="str">
        <f>IF(INFO!B8&gt;22,23,"")</f>
        <v/>
      </c>
      <c r="B29" s="152" t="e">
        <f>VLOOKUP(A29,saisie!B$7:AL$26,2,0)</f>
        <v>#N/A</v>
      </c>
      <c r="C29" s="153" t="e">
        <f>VLOOKUP(A29,saisie!B$7:AL$26,3,0)</f>
        <v>#N/A</v>
      </c>
      <c r="D29" s="154" t="e">
        <f>VLOOKUP(A29,saisie!B$7:AL$26,4,0)</f>
        <v>#N/A</v>
      </c>
      <c r="E29" s="155" t="e">
        <f>VLOOKUP(A29,saisie!B$7:AL$26,5,0)</f>
        <v>#N/A</v>
      </c>
      <c r="F29" s="155" t="e">
        <f>VLOOKUP(A29,saisie!B$7:AL$26,6,0)</f>
        <v>#N/A</v>
      </c>
      <c r="G29" s="155" t="e">
        <f>VLOOKUP(A29,saisie!B$7:AL$26,7,0)</f>
        <v>#N/A</v>
      </c>
      <c r="H29" s="156" t="e">
        <f>VLOOKUP(A29,saisie!B$7:AL$26,8,0)</f>
        <v>#N/A</v>
      </c>
      <c r="I29" s="157" t="e">
        <f>VLOOKUP(A29,saisie!B$7:AL$26,9,0)</f>
        <v>#N/A</v>
      </c>
      <c r="J29" s="154" t="e">
        <f>VLOOKUP(A29,saisie!B$7:AL$26,10,0)</f>
        <v>#N/A</v>
      </c>
      <c r="K29" s="155" t="e">
        <f>VLOOKUP(A29,saisie!B$7:AL$26,11,0)</f>
        <v>#N/A</v>
      </c>
      <c r="L29" s="155" t="e">
        <f>VLOOKUP(A29,saisie!B$7:AL$26,12,0)</f>
        <v>#N/A</v>
      </c>
      <c r="M29" s="155" t="e">
        <f>VLOOKUP(A29,saisie!B$7:AL$26,13,0)</f>
        <v>#N/A</v>
      </c>
      <c r="N29" s="156" t="e">
        <f>VLOOKUP(A29,saisie!B$7:AL$26,14,0)</f>
        <v>#N/A</v>
      </c>
      <c r="O29" s="157" t="e">
        <f>VLOOKUP(A29,saisie!B$7:AL$26,15,0)</f>
        <v>#N/A</v>
      </c>
      <c r="P29" s="154" t="e">
        <f>VLOOKUP(A29,saisie!B$7:AL$26,16,0)</f>
        <v>#N/A</v>
      </c>
      <c r="Q29" s="155" t="e">
        <f>VLOOKUP(A29,saisie!B$7:AL$26,17,0)</f>
        <v>#N/A</v>
      </c>
      <c r="R29" s="155" t="e">
        <f>VLOOKUP(A29,saisie!B$7:AL$26,18,0)</f>
        <v>#N/A</v>
      </c>
      <c r="S29" s="155" t="e">
        <f>VLOOKUP(A29,saisie!B$7:AL$26,19,0)</f>
        <v>#N/A</v>
      </c>
      <c r="T29" s="156" t="e">
        <f>VLOOKUP(A29,saisie!B$7:AL$26,20,0)</f>
        <v>#N/A</v>
      </c>
      <c r="U29" s="157" t="e">
        <f>VLOOKUP(A29,saisie!B$7:AL$26,21,0)</f>
        <v>#N/A</v>
      </c>
      <c r="V29" s="154" t="e">
        <f>VLOOKUP(A29,saisie!B$7:AL$26,22,0)</f>
        <v>#N/A</v>
      </c>
      <c r="W29" s="155" t="e">
        <f>VLOOKUP(A29,saisie!B$7:AL$26,23,0)</f>
        <v>#N/A</v>
      </c>
      <c r="X29" s="155" t="e">
        <f>VLOOKUP(A29,saisie!B$7:AL$26,24,0)</f>
        <v>#N/A</v>
      </c>
      <c r="Y29" s="155" t="e">
        <f>VLOOKUP(A29,saisie!B$7:AL$26,25,0)</f>
        <v>#N/A</v>
      </c>
      <c r="Z29" s="156" t="e">
        <f>VLOOKUP(A29,saisie!B$7:AL$26,26,0)</f>
        <v>#N/A</v>
      </c>
      <c r="AA29" s="157" t="e">
        <f>VLOOKUP(A29,saisie!B$7:AL$26,27,0)</f>
        <v>#N/A</v>
      </c>
      <c r="AB29" s="154" t="e">
        <f>VLOOKUP(A29,saisie!B$7:AL$26,28,0)</f>
        <v>#N/A</v>
      </c>
      <c r="AC29" s="155" t="e">
        <f>VLOOKUP(A29,saisie!B$7:AL$26,29,0)</f>
        <v>#N/A</v>
      </c>
      <c r="AD29" s="155" t="e">
        <f>VLOOKUP(A29,saisie!B$7:AL$26,30,0)</f>
        <v>#N/A</v>
      </c>
      <c r="AE29" s="155" t="e">
        <f>VLOOKUP(A29,saisie!B$7:AL$26,31,0)</f>
        <v>#N/A</v>
      </c>
      <c r="AF29" s="156" t="e">
        <f>VLOOKUP(A29,saisie!B$7:AL$26,32,0)</f>
        <v>#N/A</v>
      </c>
      <c r="AG29" s="157" t="e">
        <f>VLOOKUP(A29,saisie!B$7:AL$26,33,0)</f>
        <v>#N/A</v>
      </c>
      <c r="AH29" s="161" t="e">
        <f>VLOOKUP(A29,saisie!B$7:AL$26,34,0)</f>
        <v>#N/A</v>
      </c>
      <c r="AI29" s="158" t="e">
        <f>VLOOKUP(A29,saisie!B$7:AL$26,35,0)</f>
        <v>#N/A</v>
      </c>
      <c r="AJ29" s="159"/>
    </row>
    <row r="30" spans="1:36" ht="109" customHeight="1" x14ac:dyDescent="0.15">
      <c r="A30" s="160" t="str">
        <f>IF(INFO!B8&gt;23,24,"")</f>
        <v/>
      </c>
      <c r="B30" s="152" t="e">
        <f>VLOOKUP(A30,saisie!B$7:AL$26,2,0)</f>
        <v>#N/A</v>
      </c>
      <c r="C30" s="153" t="e">
        <f>VLOOKUP(A30,saisie!B$7:AL$26,3,0)</f>
        <v>#N/A</v>
      </c>
      <c r="D30" s="154" t="e">
        <f>VLOOKUP(A30,saisie!B$7:AL$26,4,0)</f>
        <v>#N/A</v>
      </c>
      <c r="E30" s="155" t="e">
        <f>VLOOKUP(A30,saisie!B$7:AL$26,5,0)</f>
        <v>#N/A</v>
      </c>
      <c r="F30" s="155" t="e">
        <f>VLOOKUP(A30,saisie!B$7:AL$26,6,0)</f>
        <v>#N/A</v>
      </c>
      <c r="G30" s="155" t="e">
        <f>VLOOKUP(A30,saisie!B$7:AL$26,7,0)</f>
        <v>#N/A</v>
      </c>
      <c r="H30" s="156" t="e">
        <f>VLOOKUP(A30,saisie!B$7:AL$26,8,0)</f>
        <v>#N/A</v>
      </c>
      <c r="I30" s="157" t="e">
        <f>VLOOKUP(A30,saisie!B$7:AL$26,9,0)</f>
        <v>#N/A</v>
      </c>
      <c r="J30" s="154" t="e">
        <f>VLOOKUP(A30,saisie!B$7:AL$26,10,0)</f>
        <v>#N/A</v>
      </c>
      <c r="K30" s="155" t="e">
        <f>VLOOKUP(A30,saisie!B$7:AL$26,11,0)</f>
        <v>#N/A</v>
      </c>
      <c r="L30" s="155" t="e">
        <f>VLOOKUP(A30,saisie!B$7:AL$26,12,0)</f>
        <v>#N/A</v>
      </c>
      <c r="M30" s="155" t="e">
        <f>VLOOKUP(A30,saisie!B$7:AL$26,13,0)</f>
        <v>#N/A</v>
      </c>
      <c r="N30" s="156" t="e">
        <f>VLOOKUP(A30,saisie!B$7:AL$26,14,0)</f>
        <v>#N/A</v>
      </c>
      <c r="O30" s="157" t="e">
        <f>VLOOKUP(A30,saisie!B$7:AL$26,15,0)</f>
        <v>#N/A</v>
      </c>
      <c r="P30" s="154" t="e">
        <f>VLOOKUP(A30,saisie!B$7:AL$26,16,0)</f>
        <v>#N/A</v>
      </c>
      <c r="Q30" s="155" t="e">
        <f>VLOOKUP(A30,saisie!B$7:AL$26,17,0)</f>
        <v>#N/A</v>
      </c>
      <c r="R30" s="155" t="e">
        <f>VLOOKUP(A30,saisie!B$7:AL$26,18,0)</f>
        <v>#N/A</v>
      </c>
      <c r="S30" s="155" t="e">
        <f>VLOOKUP(A30,saisie!B$7:AL$26,19,0)</f>
        <v>#N/A</v>
      </c>
      <c r="T30" s="156" t="e">
        <f>VLOOKUP(A30,saisie!B$7:AL$26,20,0)</f>
        <v>#N/A</v>
      </c>
      <c r="U30" s="157" t="e">
        <f>VLOOKUP(A30,saisie!B$7:AL$26,21,0)</f>
        <v>#N/A</v>
      </c>
      <c r="V30" s="154" t="e">
        <f>VLOOKUP(A30,saisie!B$7:AL$26,22,0)</f>
        <v>#N/A</v>
      </c>
      <c r="W30" s="155" t="e">
        <f>VLOOKUP(A30,saisie!B$7:AL$26,23,0)</f>
        <v>#N/A</v>
      </c>
      <c r="X30" s="155" t="e">
        <f>VLOOKUP(A30,saisie!B$7:AL$26,24,0)</f>
        <v>#N/A</v>
      </c>
      <c r="Y30" s="155" t="e">
        <f>VLOOKUP(A30,saisie!B$7:AL$26,25,0)</f>
        <v>#N/A</v>
      </c>
      <c r="Z30" s="156" t="e">
        <f>VLOOKUP(A30,saisie!B$7:AL$26,26,0)</f>
        <v>#N/A</v>
      </c>
      <c r="AA30" s="157" t="e">
        <f>VLOOKUP(A30,saisie!B$7:AL$26,27,0)</f>
        <v>#N/A</v>
      </c>
      <c r="AB30" s="154" t="e">
        <f>VLOOKUP(A30,saisie!B$7:AL$26,28,0)</f>
        <v>#N/A</v>
      </c>
      <c r="AC30" s="155" t="e">
        <f>VLOOKUP(A30,saisie!B$7:AL$26,29,0)</f>
        <v>#N/A</v>
      </c>
      <c r="AD30" s="155" t="e">
        <f>VLOOKUP(A30,saisie!B$7:AL$26,30,0)</f>
        <v>#N/A</v>
      </c>
      <c r="AE30" s="155" t="e">
        <f>VLOOKUP(A30,saisie!B$7:AL$26,31,0)</f>
        <v>#N/A</v>
      </c>
      <c r="AF30" s="156" t="e">
        <f>VLOOKUP(A30,saisie!B$7:AL$26,32,0)</f>
        <v>#N/A</v>
      </c>
      <c r="AG30" s="157" t="e">
        <f>VLOOKUP(A30,saisie!B$7:AL$26,33,0)</f>
        <v>#N/A</v>
      </c>
      <c r="AH30" s="161" t="e">
        <f>VLOOKUP(A30,saisie!B$7:AL$26,34,0)</f>
        <v>#N/A</v>
      </c>
      <c r="AI30" s="158" t="e">
        <f>VLOOKUP(A30,saisie!B$7:AL$26,35,0)</f>
        <v>#N/A</v>
      </c>
      <c r="AJ30" s="159"/>
    </row>
    <row r="31" spans="1:36" ht="109" customHeight="1" x14ac:dyDescent="0.15">
      <c r="A31" s="160" t="str">
        <f>IF(INFO!B8&gt;24,25,"")</f>
        <v/>
      </c>
      <c r="B31" s="152" t="e">
        <f>VLOOKUP(A31,saisie!B$7:AL$26,2,0)</f>
        <v>#N/A</v>
      </c>
      <c r="C31" s="153" t="e">
        <f>VLOOKUP(A31,saisie!B$7:AL$26,3,0)</f>
        <v>#N/A</v>
      </c>
      <c r="D31" s="154" t="e">
        <f>VLOOKUP(A31,saisie!B$7:AL$26,4,0)</f>
        <v>#N/A</v>
      </c>
      <c r="E31" s="155" t="e">
        <f>VLOOKUP(A31,saisie!B$7:AL$26,5,0)</f>
        <v>#N/A</v>
      </c>
      <c r="F31" s="155" t="e">
        <f>VLOOKUP(A31,saisie!B$7:AL$26,6,0)</f>
        <v>#N/A</v>
      </c>
      <c r="G31" s="155" t="e">
        <f>VLOOKUP(A31,saisie!B$7:AL$26,7,0)</f>
        <v>#N/A</v>
      </c>
      <c r="H31" s="156" t="e">
        <f>VLOOKUP(A31,saisie!B$7:AL$26,8,0)</f>
        <v>#N/A</v>
      </c>
      <c r="I31" s="157" t="e">
        <f>VLOOKUP(A31,saisie!B$7:AL$26,9,0)</f>
        <v>#N/A</v>
      </c>
      <c r="J31" s="154" t="e">
        <f>VLOOKUP(A31,saisie!B$7:AL$26,10,0)</f>
        <v>#N/A</v>
      </c>
      <c r="K31" s="155" t="e">
        <f>VLOOKUP(A31,saisie!B$7:AL$26,11,0)</f>
        <v>#N/A</v>
      </c>
      <c r="L31" s="155" t="e">
        <f>VLOOKUP(A31,saisie!B$7:AL$26,12,0)</f>
        <v>#N/A</v>
      </c>
      <c r="M31" s="155" t="e">
        <f>VLOOKUP(A31,saisie!B$7:AL$26,13,0)</f>
        <v>#N/A</v>
      </c>
      <c r="N31" s="156" t="e">
        <f>VLOOKUP(A31,saisie!B$7:AL$26,14,0)</f>
        <v>#N/A</v>
      </c>
      <c r="O31" s="157" t="e">
        <f>VLOOKUP(A31,saisie!B$7:AL$26,15,0)</f>
        <v>#N/A</v>
      </c>
      <c r="P31" s="154" t="e">
        <f>VLOOKUP(A31,saisie!B$7:AL$26,16,0)</f>
        <v>#N/A</v>
      </c>
      <c r="Q31" s="155" t="e">
        <f>VLOOKUP(A31,saisie!B$7:AL$26,17,0)</f>
        <v>#N/A</v>
      </c>
      <c r="R31" s="155" t="e">
        <f>VLOOKUP(A31,saisie!B$7:AL$26,18,0)</f>
        <v>#N/A</v>
      </c>
      <c r="S31" s="155" t="e">
        <f>VLOOKUP(A31,saisie!B$7:AL$26,19,0)</f>
        <v>#N/A</v>
      </c>
      <c r="T31" s="156" t="e">
        <f>VLOOKUP(A31,saisie!B$7:AL$26,20,0)</f>
        <v>#N/A</v>
      </c>
      <c r="U31" s="157" t="e">
        <f>VLOOKUP(A31,saisie!B$7:AL$26,21,0)</f>
        <v>#N/A</v>
      </c>
      <c r="V31" s="154" t="e">
        <f>VLOOKUP(A31,saisie!B$7:AL$26,22,0)</f>
        <v>#N/A</v>
      </c>
      <c r="W31" s="155" t="e">
        <f>VLOOKUP(A31,saisie!B$7:AL$26,23,0)</f>
        <v>#N/A</v>
      </c>
      <c r="X31" s="155" t="e">
        <f>VLOOKUP(A31,saisie!B$7:AL$26,24,0)</f>
        <v>#N/A</v>
      </c>
      <c r="Y31" s="155" t="e">
        <f>VLOOKUP(A31,saisie!B$7:AL$26,25,0)</f>
        <v>#N/A</v>
      </c>
      <c r="Z31" s="156" t="e">
        <f>VLOOKUP(A31,saisie!B$7:AL$26,26,0)</f>
        <v>#N/A</v>
      </c>
      <c r="AA31" s="157" t="e">
        <f>VLOOKUP(A31,saisie!B$7:AL$26,27,0)</f>
        <v>#N/A</v>
      </c>
      <c r="AB31" s="154" t="e">
        <f>VLOOKUP(A31,saisie!B$7:AL$26,28,0)</f>
        <v>#N/A</v>
      </c>
      <c r="AC31" s="155" t="e">
        <f>VLOOKUP(A31,saisie!B$7:AL$26,29,0)</f>
        <v>#N/A</v>
      </c>
      <c r="AD31" s="155" t="e">
        <f>VLOOKUP(A31,saisie!B$7:AL$26,30,0)</f>
        <v>#N/A</v>
      </c>
      <c r="AE31" s="155" t="e">
        <f>VLOOKUP(A31,saisie!B$7:AL$26,31,0)</f>
        <v>#N/A</v>
      </c>
      <c r="AF31" s="156" t="e">
        <f>VLOOKUP(A31,saisie!B$7:AL$26,32,0)</f>
        <v>#N/A</v>
      </c>
      <c r="AG31" s="157" t="e">
        <f>VLOOKUP(A31,saisie!B$7:AL$26,33,0)</f>
        <v>#N/A</v>
      </c>
      <c r="AH31" s="161" t="e">
        <f>VLOOKUP(A31,saisie!B$7:AL$26,34,0)</f>
        <v>#N/A</v>
      </c>
      <c r="AI31" s="158" t="e">
        <f>VLOOKUP(A31,saisie!B$7:AL$26,35,0)</f>
        <v>#N/A</v>
      </c>
      <c r="AJ31" s="159"/>
    </row>
    <row r="32" spans="1:36" ht="109" customHeight="1" x14ac:dyDescent="0.15">
      <c r="A32" s="160" t="str">
        <f>IF(INFO!B8&gt;25,26,"")</f>
        <v/>
      </c>
      <c r="B32" s="152" t="e">
        <f>VLOOKUP(A32,saisie!B$7:AL$26,2,0)</f>
        <v>#N/A</v>
      </c>
      <c r="C32" s="153" t="e">
        <f>VLOOKUP(A32,saisie!B$7:AL$26,3,0)</f>
        <v>#N/A</v>
      </c>
      <c r="D32" s="154" t="e">
        <f>VLOOKUP(A32,saisie!B$7:AL$26,4,0)</f>
        <v>#N/A</v>
      </c>
      <c r="E32" s="155" t="e">
        <f>VLOOKUP(A32,saisie!B$7:AL$26,5,0)</f>
        <v>#N/A</v>
      </c>
      <c r="F32" s="155" t="e">
        <f>VLOOKUP(A32,saisie!B$7:AL$26,6,0)</f>
        <v>#N/A</v>
      </c>
      <c r="G32" s="155" t="e">
        <f>VLOOKUP(A32,saisie!B$7:AL$26,7,0)</f>
        <v>#N/A</v>
      </c>
      <c r="H32" s="156" t="e">
        <f>VLOOKUP(A32,saisie!B$7:AL$26,8,0)</f>
        <v>#N/A</v>
      </c>
      <c r="I32" s="157" t="e">
        <f>VLOOKUP(A32,saisie!B$7:AL$26,9,0)</f>
        <v>#N/A</v>
      </c>
      <c r="J32" s="154" t="e">
        <f>VLOOKUP(A32,saisie!B$7:AL$26,10,0)</f>
        <v>#N/A</v>
      </c>
      <c r="K32" s="155" t="e">
        <f>VLOOKUP(A32,saisie!B$7:AL$26,11,0)</f>
        <v>#N/A</v>
      </c>
      <c r="L32" s="155" t="e">
        <f>VLOOKUP(A32,saisie!B$7:AL$26,12,0)</f>
        <v>#N/A</v>
      </c>
      <c r="M32" s="155" t="e">
        <f>VLOOKUP(A32,saisie!B$7:AL$26,13,0)</f>
        <v>#N/A</v>
      </c>
      <c r="N32" s="156" t="e">
        <f>VLOOKUP(A32,saisie!B$7:AL$26,14,0)</f>
        <v>#N/A</v>
      </c>
      <c r="O32" s="157" t="e">
        <f>VLOOKUP(A32,saisie!B$7:AL$26,15,0)</f>
        <v>#N/A</v>
      </c>
      <c r="P32" s="154" t="e">
        <f>VLOOKUP(A32,saisie!B$7:AL$26,16,0)</f>
        <v>#N/A</v>
      </c>
      <c r="Q32" s="155" t="e">
        <f>VLOOKUP(A32,saisie!B$7:AL$26,17,0)</f>
        <v>#N/A</v>
      </c>
      <c r="R32" s="155" t="e">
        <f>VLOOKUP(A32,saisie!B$7:AL$26,18,0)</f>
        <v>#N/A</v>
      </c>
      <c r="S32" s="155" t="e">
        <f>VLOOKUP(A32,saisie!B$7:AL$26,19,0)</f>
        <v>#N/A</v>
      </c>
      <c r="T32" s="156" t="e">
        <f>VLOOKUP(A32,saisie!B$7:AL$26,20,0)</f>
        <v>#N/A</v>
      </c>
      <c r="U32" s="157" t="e">
        <f>VLOOKUP(A32,saisie!B$7:AL$26,21,0)</f>
        <v>#N/A</v>
      </c>
      <c r="V32" s="154" t="e">
        <f>VLOOKUP(A32,saisie!B$7:AL$26,22,0)</f>
        <v>#N/A</v>
      </c>
      <c r="W32" s="155" t="e">
        <f>VLOOKUP(A32,saisie!B$7:AL$26,23,0)</f>
        <v>#N/A</v>
      </c>
      <c r="X32" s="155" t="e">
        <f>VLOOKUP(A32,saisie!B$7:AL$26,24,0)</f>
        <v>#N/A</v>
      </c>
      <c r="Y32" s="155" t="e">
        <f>VLOOKUP(A32,saisie!B$7:AL$26,25,0)</f>
        <v>#N/A</v>
      </c>
      <c r="Z32" s="156" t="e">
        <f>VLOOKUP(A32,saisie!B$7:AL$26,26,0)</f>
        <v>#N/A</v>
      </c>
      <c r="AA32" s="157" t="e">
        <f>VLOOKUP(A32,saisie!B$7:AL$26,27,0)</f>
        <v>#N/A</v>
      </c>
      <c r="AB32" s="154" t="e">
        <f>VLOOKUP(A32,saisie!B$7:AL$26,28,0)</f>
        <v>#N/A</v>
      </c>
      <c r="AC32" s="155" t="e">
        <f>VLOOKUP(A32,saisie!B$7:AL$26,29,0)</f>
        <v>#N/A</v>
      </c>
      <c r="AD32" s="155" t="e">
        <f>VLOOKUP(A32,saisie!B$7:AL$26,30,0)</f>
        <v>#N/A</v>
      </c>
      <c r="AE32" s="155" t="e">
        <f>VLOOKUP(A32,saisie!B$7:AL$26,31,0)</f>
        <v>#N/A</v>
      </c>
      <c r="AF32" s="156" t="e">
        <f>VLOOKUP(A32,saisie!B$7:AL$26,32,0)</f>
        <v>#N/A</v>
      </c>
      <c r="AG32" s="157" t="e">
        <f>VLOOKUP(A32,saisie!B$7:AL$26,33,0)</f>
        <v>#N/A</v>
      </c>
      <c r="AH32" s="161" t="e">
        <f>VLOOKUP(A32,saisie!B$7:AL$26,34,0)</f>
        <v>#N/A</v>
      </c>
      <c r="AI32" s="158" t="e">
        <f>VLOOKUP(A32,saisie!B$7:AL$26,35,0)</f>
        <v>#N/A</v>
      </c>
      <c r="AJ32" s="159"/>
    </row>
    <row r="33" spans="1:36" ht="109" customHeight="1" x14ac:dyDescent="0.15">
      <c r="A33" s="160" t="str">
        <f>IF(INFO!B8&gt;26,27,"")</f>
        <v/>
      </c>
      <c r="B33" s="152" t="e">
        <f>VLOOKUP(A33,saisie!B$7:AL$26,2,0)</f>
        <v>#N/A</v>
      </c>
      <c r="C33" s="153" t="e">
        <f>VLOOKUP(A33,saisie!B$7:AL$26,3,0)</f>
        <v>#N/A</v>
      </c>
      <c r="D33" s="154" t="e">
        <f>VLOOKUP(A33,saisie!B$7:AL$26,4,0)</f>
        <v>#N/A</v>
      </c>
      <c r="E33" s="155" t="e">
        <f>VLOOKUP(A33,saisie!B$7:AL$26,5,0)</f>
        <v>#N/A</v>
      </c>
      <c r="F33" s="155" t="e">
        <f>VLOOKUP(A33,saisie!B$7:AL$26,6,0)</f>
        <v>#N/A</v>
      </c>
      <c r="G33" s="155" t="e">
        <f>VLOOKUP(A33,saisie!B$7:AL$26,7,0)</f>
        <v>#N/A</v>
      </c>
      <c r="H33" s="156" t="e">
        <f>VLOOKUP(A33,saisie!B$7:AL$26,8,0)</f>
        <v>#N/A</v>
      </c>
      <c r="I33" s="157" t="e">
        <f>VLOOKUP(A33,saisie!B$7:AL$26,9,0)</f>
        <v>#N/A</v>
      </c>
      <c r="J33" s="154" t="e">
        <f>VLOOKUP(A33,saisie!B$7:AL$26,10,0)</f>
        <v>#N/A</v>
      </c>
      <c r="K33" s="155" t="e">
        <f>VLOOKUP(A33,saisie!B$7:AL$26,11,0)</f>
        <v>#N/A</v>
      </c>
      <c r="L33" s="155" t="e">
        <f>VLOOKUP(A33,saisie!B$7:AL$26,12,0)</f>
        <v>#N/A</v>
      </c>
      <c r="M33" s="155" t="e">
        <f>VLOOKUP(A33,saisie!B$7:AL$26,13,0)</f>
        <v>#N/A</v>
      </c>
      <c r="N33" s="156" t="e">
        <f>VLOOKUP(A33,saisie!B$7:AL$26,14,0)</f>
        <v>#N/A</v>
      </c>
      <c r="O33" s="157" t="e">
        <f>VLOOKUP(A33,saisie!B$7:AL$26,15,0)</f>
        <v>#N/A</v>
      </c>
      <c r="P33" s="154" t="e">
        <f>VLOOKUP(A33,saisie!B$7:AL$26,16,0)</f>
        <v>#N/A</v>
      </c>
      <c r="Q33" s="155" t="e">
        <f>VLOOKUP(A33,saisie!B$7:AL$26,17,0)</f>
        <v>#N/A</v>
      </c>
      <c r="R33" s="155" t="e">
        <f>VLOOKUP(A33,saisie!B$7:AL$26,18,0)</f>
        <v>#N/A</v>
      </c>
      <c r="S33" s="155" t="e">
        <f>VLOOKUP(A33,saisie!B$7:AL$26,19,0)</f>
        <v>#N/A</v>
      </c>
      <c r="T33" s="156" t="e">
        <f>VLOOKUP(A33,saisie!B$7:AL$26,20,0)</f>
        <v>#N/A</v>
      </c>
      <c r="U33" s="157" t="e">
        <f>VLOOKUP(A33,saisie!B$7:AL$26,21,0)</f>
        <v>#N/A</v>
      </c>
      <c r="V33" s="154" t="e">
        <f>VLOOKUP(A33,saisie!B$7:AL$26,22,0)</f>
        <v>#N/A</v>
      </c>
      <c r="W33" s="155" t="e">
        <f>VLOOKUP(A33,saisie!B$7:AL$26,23,0)</f>
        <v>#N/A</v>
      </c>
      <c r="X33" s="155" t="e">
        <f>VLOOKUP(A33,saisie!B$7:AL$26,24,0)</f>
        <v>#N/A</v>
      </c>
      <c r="Y33" s="155" t="e">
        <f>VLOOKUP(A33,saisie!B$7:AL$26,25,0)</f>
        <v>#N/A</v>
      </c>
      <c r="Z33" s="156" t="e">
        <f>VLOOKUP(A33,saisie!B$7:AL$26,26,0)</f>
        <v>#N/A</v>
      </c>
      <c r="AA33" s="157" t="e">
        <f>VLOOKUP(A33,saisie!B$7:AL$26,27,0)</f>
        <v>#N/A</v>
      </c>
      <c r="AB33" s="154" t="e">
        <f>VLOOKUP(A33,saisie!B$7:AL$26,28,0)</f>
        <v>#N/A</v>
      </c>
      <c r="AC33" s="155" t="e">
        <f>VLOOKUP(A33,saisie!B$7:AL$26,29,0)</f>
        <v>#N/A</v>
      </c>
      <c r="AD33" s="155" t="e">
        <f>VLOOKUP(A33,saisie!B$7:AL$26,30,0)</f>
        <v>#N/A</v>
      </c>
      <c r="AE33" s="155" t="e">
        <f>VLOOKUP(A33,saisie!B$7:AL$26,31,0)</f>
        <v>#N/A</v>
      </c>
      <c r="AF33" s="156" t="e">
        <f>VLOOKUP(A33,saisie!B$7:AL$26,32,0)</f>
        <v>#N/A</v>
      </c>
      <c r="AG33" s="157" t="e">
        <f>VLOOKUP(A33,saisie!B$7:AL$26,33,0)</f>
        <v>#N/A</v>
      </c>
      <c r="AH33" s="161" t="e">
        <f>VLOOKUP(A33,saisie!B$7:AL$26,34,0)</f>
        <v>#N/A</v>
      </c>
      <c r="AI33" s="158" t="e">
        <f>VLOOKUP(A33,saisie!B$7:AL$26,35,0)</f>
        <v>#N/A</v>
      </c>
      <c r="AJ33" s="159"/>
    </row>
    <row r="34" spans="1:36" ht="109" customHeight="1" x14ac:dyDescent="0.15">
      <c r="A34" s="160" t="str">
        <f>IF(INFO!B8&gt;27,28,"")</f>
        <v/>
      </c>
      <c r="B34" s="152" t="e">
        <f>VLOOKUP(A34,saisie!B$7:AL$26,2,0)</f>
        <v>#N/A</v>
      </c>
      <c r="C34" s="153" t="e">
        <f>VLOOKUP(A34,saisie!B$7:AL$26,3,0)</f>
        <v>#N/A</v>
      </c>
      <c r="D34" s="154" t="e">
        <f>VLOOKUP(A34,saisie!B$7:AL$26,4,0)</f>
        <v>#N/A</v>
      </c>
      <c r="E34" s="155" t="e">
        <f>VLOOKUP(A34,saisie!B$7:AL$26,5,0)</f>
        <v>#N/A</v>
      </c>
      <c r="F34" s="155" t="e">
        <f>VLOOKUP(A34,saisie!B$7:AL$26,6,0)</f>
        <v>#N/A</v>
      </c>
      <c r="G34" s="155" t="e">
        <f>VLOOKUP(A34,saisie!B$7:AL$26,7,0)</f>
        <v>#N/A</v>
      </c>
      <c r="H34" s="156" t="e">
        <f>VLOOKUP(A34,saisie!B$7:AL$26,8,0)</f>
        <v>#N/A</v>
      </c>
      <c r="I34" s="157" t="e">
        <f>VLOOKUP(A34,saisie!B$7:AL$26,9,0)</f>
        <v>#N/A</v>
      </c>
      <c r="J34" s="154" t="e">
        <f>VLOOKUP(A34,saisie!B$7:AL$26,10,0)</f>
        <v>#N/A</v>
      </c>
      <c r="K34" s="155" t="e">
        <f>VLOOKUP(A34,saisie!B$7:AL$26,11,0)</f>
        <v>#N/A</v>
      </c>
      <c r="L34" s="155" t="e">
        <f>VLOOKUP(A34,saisie!B$7:AL$26,12,0)</f>
        <v>#N/A</v>
      </c>
      <c r="M34" s="155" t="e">
        <f>VLOOKUP(A34,saisie!B$7:AL$26,13,0)</f>
        <v>#N/A</v>
      </c>
      <c r="N34" s="156" t="e">
        <f>VLOOKUP(A34,saisie!B$7:AL$26,14,0)</f>
        <v>#N/A</v>
      </c>
      <c r="O34" s="157" t="e">
        <f>VLOOKUP(A34,saisie!B$7:AL$26,15,0)</f>
        <v>#N/A</v>
      </c>
      <c r="P34" s="154" t="e">
        <f>VLOOKUP(A34,saisie!B$7:AL$26,16,0)</f>
        <v>#N/A</v>
      </c>
      <c r="Q34" s="155" t="e">
        <f>VLOOKUP(A34,saisie!B$7:AL$26,17,0)</f>
        <v>#N/A</v>
      </c>
      <c r="R34" s="155" t="e">
        <f>VLOOKUP(A34,saisie!B$7:AL$26,18,0)</f>
        <v>#N/A</v>
      </c>
      <c r="S34" s="155" t="e">
        <f>VLOOKUP(A34,saisie!B$7:AL$26,19,0)</f>
        <v>#N/A</v>
      </c>
      <c r="T34" s="156" t="e">
        <f>VLOOKUP(A34,saisie!B$7:AL$26,20,0)</f>
        <v>#N/A</v>
      </c>
      <c r="U34" s="157" t="e">
        <f>VLOOKUP(A34,saisie!B$7:AL$26,21,0)</f>
        <v>#N/A</v>
      </c>
      <c r="V34" s="154" t="e">
        <f>VLOOKUP(A34,saisie!B$7:AL$26,22,0)</f>
        <v>#N/A</v>
      </c>
      <c r="W34" s="155" t="e">
        <f>VLOOKUP(A34,saisie!B$7:AL$26,23,0)</f>
        <v>#N/A</v>
      </c>
      <c r="X34" s="155" t="e">
        <f>VLOOKUP(A34,saisie!B$7:AL$26,24,0)</f>
        <v>#N/A</v>
      </c>
      <c r="Y34" s="155" t="e">
        <f>VLOOKUP(A34,saisie!B$7:AL$26,25,0)</f>
        <v>#N/A</v>
      </c>
      <c r="Z34" s="156" t="e">
        <f>VLOOKUP(A34,saisie!B$7:AL$26,26,0)</f>
        <v>#N/A</v>
      </c>
      <c r="AA34" s="157" t="e">
        <f>VLOOKUP(A34,saisie!B$7:AL$26,27,0)</f>
        <v>#N/A</v>
      </c>
      <c r="AB34" s="154" t="e">
        <f>VLOOKUP(A34,saisie!B$7:AL$26,28,0)</f>
        <v>#N/A</v>
      </c>
      <c r="AC34" s="155" t="e">
        <f>VLOOKUP(A34,saisie!B$7:AL$26,29,0)</f>
        <v>#N/A</v>
      </c>
      <c r="AD34" s="155" t="e">
        <f>VLOOKUP(A34,saisie!B$7:AL$26,30,0)</f>
        <v>#N/A</v>
      </c>
      <c r="AE34" s="155" t="e">
        <f>VLOOKUP(A34,saisie!B$7:AL$26,31,0)</f>
        <v>#N/A</v>
      </c>
      <c r="AF34" s="156" t="e">
        <f>VLOOKUP(A34,saisie!B$7:AL$26,32,0)</f>
        <v>#N/A</v>
      </c>
      <c r="AG34" s="157" t="e">
        <f>VLOOKUP(A34,saisie!B$7:AL$26,33,0)</f>
        <v>#N/A</v>
      </c>
      <c r="AH34" s="161" t="e">
        <f>VLOOKUP(A34,saisie!B$7:AL$26,34,0)</f>
        <v>#N/A</v>
      </c>
      <c r="AI34" s="158" t="e">
        <f>VLOOKUP(A34,saisie!B$7:AL$26,35,0)</f>
        <v>#N/A</v>
      </c>
      <c r="AJ34" s="159"/>
    </row>
    <row r="35" spans="1:36" ht="109" customHeight="1" x14ac:dyDescent="0.15">
      <c r="A35" s="160" t="str">
        <f>IF(INFO!B8&gt;28,29,"")</f>
        <v/>
      </c>
      <c r="B35" s="152" t="e">
        <f>VLOOKUP(A35,saisie!B$7:AL$26,2,0)</f>
        <v>#N/A</v>
      </c>
      <c r="C35" s="153" t="e">
        <f>VLOOKUP(A35,saisie!B$7:AL$26,3,0)</f>
        <v>#N/A</v>
      </c>
      <c r="D35" s="154" t="e">
        <f>VLOOKUP(A35,saisie!B$7:AL$26,4,0)</f>
        <v>#N/A</v>
      </c>
      <c r="E35" s="155" t="e">
        <f>VLOOKUP(A35,saisie!B$7:AL$26,5,0)</f>
        <v>#N/A</v>
      </c>
      <c r="F35" s="155" t="e">
        <f>VLOOKUP(A35,saisie!B$7:AL$26,6,0)</f>
        <v>#N/A</v>
      </c>
      <c r="G35" s="155" t="e">
        <f>VLOOKUP(A35,saisie!B$7:AL$26,7,0)</f>
        <v>#N/A</v>
      </c>
      <c r="H35" s="156" t="e">
        <f>VLOOKUP(A35,saisie!B$7:AL$26,8,0)</f>
        <v>#N/A</v>
      </c>
      <c r="I35" s="157" t="e">
        <f>VLOOKUP(A35,saisie!B$7:AL$26,9,0)</f>
        <v>#N/A</v>
      </c>
      <c r="J35" s="154" t="e">
        <f>VLOOKUP(A35,saisie!B$7:AL$26,10,0)</f>
        <v>#N/A</v>
      </c>
      <c r="K35" s="155" t="e">
        <f>VLOOKUP(A35,saisie!B$7:AL$26,11,0)</f>
        <v>#N/A</v>
      </c>
      <c r="L35" s="155" t="e">
        <f>VLOOKUP(A35,saisie!B$7:AL$26,12,0)</f>
        <v>#N/A</v>
      </c>
      <c r="M35" s="155" t="e">
        <f>VLOOKUP(A35,saisie!B$7:AL$26,13,0)</f>
        <v>#N/A</v>
      </c>
      <c r="N35" s="156" t="e">
        <f>VLOOKUP(A35,saisie!B$7:AL$26,14,0)</f>
        <v>#N/A</v>
      </c>
      <c r="O35" s="157" t="e">
        <f>VLOOKUP(A35,saisie!B$7:AL$26,15,0)</f>
        <v>#N/A</v>
      </c>
      <c r="P35" s="154" t="e">
        <f>VLOOKUP(A35,saisie!B$7:AL$26,16,0)</f>
        <v>#N/A</v>
      </c>
      <c r="Q35" s="155" t="e">
        <f>VLOOKUP(A35,saisie!B$7:AL$26,17,0)</f>
        <v>#N/A</v>
      </c>
      <c r="R35" s="155" t="e">
        <f>VLOOKUP(A35,saisie!B$7:AL$26,18,0)</f>
        <v>#N/A</v>
      </c>
      <c r="S35" s="155" t="e">
        <f>VLOOKUP(A35,saisie!B$7:AL$26,19,0)</f>
        <v>#N/A</v>
      </c>
      <c r="T35" s="156" t="e">
        <f>VLOOKUP(A35,saisie!B$7:AL$26,20,0)</f>
        <v>#N/A</v>
      </c>
      <c r="U35" s="157" t="e">
        <f>VLOOKUP(A35,saisie!B$7:AL$26,21,0)</f>
        <v>#N/A</v>
      </c>
      <c r="V35" s="154" t="e">
        <f>VLOOKUP(A35,saisie!B$7:AL$26,22,0)</f>
        <v>#N/A</v>
      </c>
      <c r="W35" s="155" t="e">
        <f>VLOOKUP(A35,saisie!B$7:AL$26,23,0)</f>
        <v>#N/A</v>
      </c>
      <c r="X35" s="155" t="e">
        <f>VLOOKUP(A35,saisie!B$7:AL$26,24,0)</f>
        <v>#N/A</v>
      </c>
      <c r="Y35" s="155" t="e">
        <f>VLOOKUP(A35,saisie!B$7:AL$26,25,0)</f>
        <v>#N/A</v>
      </c>
      <c r="Z35" s="156" t="e">
        <f>VLOOKUP(A35,saisie!B$7:AL$26,26,0)</f>
        <v>#N/A</v>
      </c>
      <c r="AA35" s="157" t="e">
        <f>VLOOKUP(A35,saisie!B$7:AL$26,27,0)</f>
        <v>#N/A</v>
      </c>
      <c r="AB35" s="154" t="e">
        <f>VLOOKUP(A35,saisie!B$7:AL$26,28,0)</f>
        <v>#N/A</v>
      </c>
      <c r="AC35" s="155" t="e">
        <f>VLOOKUP(A35,saisie!B$7:AL$26,29,0)</f>
        <v>#N/A</v>
      </c>
      <c r="AD35" s="155" t="e">
        <f>VLOOKUP(A35,saisie!B$7:AL$26,30,0)</f>
        <v>#N/A</v>
      </c>
      <c r="AE35" s="155" t="e">
        <f>VLOOKUP(A35,saisie!B$7:AL$26,31,0)</f>
        <v>#N/A</v>
      </c>
      <c r="AF35" s="156" t="e">
        <f>VLOOKUP(A35,saisie!B$7:AL$26,32,0)</f>
        <v>#N/A</v>
      </c>
      <c r="AG35" s="157" t="e">
        <f>VLOOKUP(A35,saisie!B$7:AL$26,33,0)</f>
        <v>#N/A</v>
      </c>
      <c r="AH35" s="161" t="e">
        <f>VLOOKUP(A35,saisie!B$7:AL$26,34,0)</f>
        <v>#N/A</v>
      </c>
      <c r="AI35" s="158" t="e">
        <f>VLOOKUP(A35,saisie!B$7:AL$26,35,0)</f>
        <v>#N/A</v>
      </c>
      <c r="AJ35" s="159"/>
    </row>
    <row r="36" spans="1:36" ht="109" customHeight="1" x14ac:dyDescent="0.15">
      <c r="A36" s="160" t="str">
        <f>IF(INFO!B8&gt;29,30,"")</f>
        <v/>
      </c>
      <c r="B36" s="152" t="e">
        <f>VLOOKUP(A36,saisie!B$7:AL$26,2,0)</f>
        <v>#N/A</v>
      </c>
      <c r="C36" s="153" t="e">
        <f>VLOOKUP(A36,saisie!B$7:AL$26,3,0)</f>
        <v>#N/A</v>
      </c>
      <c r="D36" s="154" t="e">
        <f>VLOOKUP(A36,saisie!B$7:AL$26,4,0)</f>
        <v>#N/A</v>
      </c>
      <c r="E36" s="155" t="e">
        <f>VLOOKUP(A36,saisie!B$7:AL$26,5,0)</f>
        <v>#N/A</v>
      </c>
      <c r="F36" s="155" t="e">
        <f>VLOOKUP(A36,saisie!B$7:AL$26,6,0)</f>
        <v>#N/A</v>
      </c>
      <c r="G36" s="155" t="e">
        <f>VLOOKUP(A36,saisie!B$7:AL$26,7,0)</f>
        <v>#N/A</v>
      </c>
      <c r="H36" s="156" t="e">
        <f>VLOOKUP(A36,saisie!B$7:AL$26,8,0)</f>
        <v>#N/A</v>
      </c>
      <c r="I36" s="157" t="e">
        <f>VLOOKUP(A36,saisie!B$7:AL$26,9,0)</f>
        <v>#N/A</v>
      </c>
      <c r="J36" s="154" t="e">
        <f>VLOOKUP(A36,saisie!B$7:AL$26,10,0)</f>
        <v>#N/A</v>
      </c>
      <c r="K36" s="155" t="e">
        <f>VLOOKUP(A36,saisie!B$7:AL$26,11,0)</f>
        <v>#N/A</v>
      </c>
      <c r="L36" s="155" t="e">
        <f>VLOOKUP(A36,saisie!B$7:AL$26,12,0)</f>
        <v>#N/A</v>
      </c>
      <c r="M36" s="155" t="e">
        <f>VLOOKUP(A36,saisie!B$7:AL$26,13,0)</f>
        <v>#N/A</v>
      </c>
      <c r="N36" s="156" t="e">
        <f>VLOOKUP(A36,saisie!B$7:AL$26,14,0)</f>
        <v>#N/A</v>
      </c>
      <c r="O36" s="157" t="e">
        <f>VLOOKUP(A36,saisie!B$7:AL$26,15,0)</f>
        <v>#N/A</v>
      </c>
      <c r="P36" s="154" t="e">
        <f>VLOOKUP(A36,saisie!B$7:AL$26,16,0)</f>
        <v>#N/A</v>
      </c>
      <c r="Q36" s="155" t="e">
        <f>VLOOKUP(A36,saisie!B$7:AL$26,17,0)</f>
        <v>#N/A</v>
      </c>
      <c r="R36" s="155" t="e">
        <f>VLOOKUP(A36,saisie!B$7:AL$26,18,0)</f>
        <v>#N/A</v>
      </c>
      <c r="S36" s="155" t="e">
        <f>VLOOKUP(A36,saisie!B$7:AL$26,19,0)</f>
        <v>#N/A</v>
      </c>
      <c r="T36" s="156" t="e">
        <f>VLOOKUP(A36,saisie!B$7:AL$26,20,0)</f>
        <v>#N/A</v>
      </c>
      <c r="U36" s="157" t="e">
        <f>VLOOKUP(A36,saisie!B$7:AL$26,21,0)</f>
        <v>#N/A</v>
      </c>
      <c r="V36" s="154" t="e">
        <f>VLOOKUP(A36,saisie!B$7:AL$26,22,0)</f>
        <v>#N/A</v>
      </c>
      <c r="W36" s="155" t="e">
        <f>VLOOKUP(A36,saisie!B$7:AL$26,23,0)</f>
        <v>#N/A</v>
      </c>
      <c r="X36" s="155" t="e">
        <f>VLOOKUP(A36,saisie!B$7:AL$26,24,0)</f>
        <v>#N/A</v>
      </c>
      <c r="Y36" s="155" t="e">
        <f>VLOOKUP(A36,saisie!B$7:AL$26,25,0)</f>
        <v>#N/A</v>
      </c>
      <c r="Z36" s="156" t="e">
        <f>VLOOKUP(A36,saisie!B$7:AL$26,26,0)</f>
        <v>#N/A</v>
      </c>
      <c r="AA36" s="157" t="e">
        <f>VLOOKUP(A36,saisie!B$7:AL$26,27,0)</f>
        <v>#N/A</v>
      </c>
      <c r="AB36" s="154" t="e">
        <f>VLOOKUP(A36,saisie!B$7:AL$26,28,0)</f>
        <v>#N/A</v>
      </c>
      <c r="AC36" s="155" t="e">
        <f>VLOOKUP(A36,saisie!B$7:AL$26,29,0)</f>
        <v>#N/A</v>
      </c>
      <c r="AD36" s="155" t="e">
        <f>VLOOKUP(A36,saisie!B$7:AL$26,30,0)</f>
        <v>#N/A</v>
      </c>
      <c r="AE36" s="155" t="e">
        <f>VLOOKUP(A36,saisie!B$7:AL$26,31,0)</f>
        <v>#N/A</v>
      </c>
      <c r="AF36" s="156" t="e">
        <f>VLOOKUP(A36,saisie!B$7:AL$26,32,0)</f>
        <v>#N/A</v>
      </c>
      <c r="AG36" s="157" t="e">
        <f>VLOOKUP(A36,saisie!B$7:AL$26,33,0)</f>
        <v>#N/A</v>
      </c>
      <c r="AH36" s="161" t="e">
        <f>VLOOKUP(A36,saisie!B$7:AL$26,34,0)</f>
        <v>#N/A</v>
      </c>
      <c r="AI36" s="158" t="e">
        <f>VLOOKUP(A36,saisie!B$7:AL$26,35,0)</f>
        <v>#N/A</v>
      </c>
      <c r="AJ36" s="159"/>
    </row>
    <row r="37" spans="1:36" ht="109" customHeight="1" x14ac:dyDescent="0.15">
      <c r="A37" s="160" t="str">
        <f>IF(INFO!B8&gt;30,31,"")</f>
        <v/>
      </c>
      <c r="B37" s="152" t="e">
        <f>VLOOKUP(A37,saisie!B$7:AL$26,2,0)</f>
        <v>#N/A</v>
      </c>
      <c r="C37" s="153" t="e">
        <f>VLOOKUP(A37,saisie!B$7:AL$26,3,0)</f>
        <v>#N/A</v>
      </c>
      <c r="D37" s="154" t="e">
        <f>VLOOKUP(A37,saisie!B$7:AL$26,4,0)</f>
        <v>#N/A</v>
      </c>
      <c r="E37" s="155" t="e">
        <f>VLOOKUP(A37,saisie!B$7:AL$26,5,0)</f>
        <v>#N/A</v>
      </c>
      <c r="F37" s="155" t="e">
        <f>VLOOKUP(A37,saisie!B$7:AL$26,6,0)</f>
        <v>#N/A</v>
      </c>
      <c r="G37" s="155" t="e">
        <f>VLOOKUP(A37,saisie!B$7:AL$26,7,0)</f>
        <v>#N/A</v>
      </c>
      <c r="H37" s="156" t="e">
        <f>VLOOKUP(A37,saisie!B$7:AL$26,8,0)</f>
        <v>#N/A</v>
      </c>
      <c r="I37" s="157" t="e">
        <f>VLOOKUP(A37,saisie!B$7:AL$26,9,0)</f>
        <v>#N/A</v>
      </c>
      <c r="J37" s="154" t="e">
        <f>VLOOKUP(A37,saisie!B$7:AL$26,10,0)</f>
        <v>#N/A</v>
      </c>
      <c r="K37" s="155" t="e">
        <f>VLOOKUP(A37,saisie!B$7:AL$26,11,0)</f>
        <v>#N/A</v>
      </c>
      <c r="L37" s="155" t="e">
        <f>VLOOKUP(A37,saisie!B$7:AL$26,12,0)</f>
        <v>#N/A</v>
      </c>
      <c r="M37" s="155" t="e">
        <f>VLOOKUP(A37,saisie!B$7:AL$26,13,0)</f>
        <v>#N/A</v>
      </c>
      <c r="N37" s="156" t="e">
        <f>VLOOKUP(A37,saisie!B$7:AL$26,14,0)</f>
        <v>#N/A</v>
      </c>
      <c r="O37" s="157" t="e">
        <f>VLOOKUP(A37,saisie!B$7:AL$26,15,0)</f>
        <v>#N/A</v>
      </c>
      <c r="P37" s="154" t="e">
        <f>VLOOKUP(A37,saisie!B$7:AL$26,16,0)</f>
        <v>#N/A</v>
      </c>
      <c r="Q37" s="155" t="e">
        <f>VLOOKUP(A37,saisie!B$7:AL$26,17,0)</f>
        <v>#N/A</v>
      </c>
      <c r="R37" s="155" t="e">
        <f>VLOOKUP(A37,saisie!B$7:AL$26,18,0)</f>
        <v>#N/A</v>
      </c>
      <c r="S37" s="155" t="e">
        <f>VLOOKUP(A37,saisie!B$7:AL$26,19,0)</f>
        <v>#N/A</v>
      </c>
      <c r="T37" s="156" t="e">
        <f>VLOOKUP(A37,saisie!B$7:AL$26,20,0)</f>
        <v>#N/A</v>
      </c>
      <c r="U37" s="157" t="e">
        <f>VLOOKUP(A37,saisie!B$7:AL$26,21,0)</f>
        <v>#N/A</v>
      </c>
      <c r="V37" s="154" t="e">
        <f>VLOOKUP(A37,saisie!B$7:AL$26,22,0)</f>
        <v>#N/A</v>
      </c>
      <c r="W37" s="155" t="e">
        <f>VLOOKUP(A37,saisie!B$7:AL$26,23,0)</f>
        <v>#N/A</v>
      </c>
      <c r="X37" s="155" t="e">
        <f>VLOOKUP(A37,saisie!B$7:AL$26,24,0)</f>
        <v>#N/A</v>
      </c>
      <c r="Y37" s="155" t="e">
        <f>VLOOKUP(A37,saisie!B$7:AL$26,25,0)</f>
        <v>#N/A</v>
      </c>
      <c r="Z37" s="156" t="e">
        <f>VLOOKUP(A37,saisie!B$7:AL$26,26,0)</f>
        <v>#N/A</v>
      </c>
      <c r="AA37" s="157" t="e">
        <f>VLOOKUP(A37,saisie!B$7:AL$26,27,0)</f>
        <v>#N/A</v>
      </c>
      <c r="AB37" s="154" t="e">
        <f>VLOOKUP(A37,saisie!B$7:AL$26,28,0)</f>
        <v>#N/A</v>
      </c>
      <c r="AC37" s="155" t="e">
        <f>VLOOKUP(A37,saisie!B$7:AL$26,29,0)</f>
        <v>#N/A</v>
      </c>
      <c r="AD37" s="155" t="e">
        <f>VLOOKUP(A37,saisie!B$7:AL$26,30,0)</f>
        <v>#N/A</v>
      </c>
      <c r="AE37" s="155" t="e">
        <f>VLOOKUP(A37,saisie!B$7:AL$26,31,0)</f>
        <v>#N/A</v>
      </c>
      <c r="AF37" s="156" t="e">
        <f>VLOOKUP(A37,saisie!B$7:AL$26,32,0)</f>
        <v>#N/A</v>
      </c>
      <c r="AG37" s="157" t="e">
        <f>VLOOKUP(A37,saisie!B$7:AL$26,33,0)</f>
        <v>#N/A</v>
      </c>
      <c r="AH37" s="161" t="e">
        <f>VLOOKUP(A37,saisie!B$7:AL$26,34,0)</f>
        <v>#N/A</v>
      </c>
      <c r="AI37" s="158" t="e">
        <f>VLOOKUP(A37,saisie!B$7:AL$26,35,0)</f>
        <v>#N/A</v>
      </c>
      <c r="AJ37" s="159"/>
    </row>
    <row r="38" spans="1:36" ht="109" customHeight="1" x14ac:dyDescent="0.15">
      <c r="A38" s="160" t="str">
        <f>IF(INFO!B8&gt;31,32,"")</f>
        <v/>
      </c>
      <c r="B38" s="152" t="e">
        <f>VLOOKUP(A38,saisie!B$7:AL$26,2,0)</f>
        <v>#N/A</v>
      </c>
      <c r="C38" s="153" t="e">
        <f>VLOOKUP(A38,saisie!B$7:AL$26,3,0)</f>
        <v>#N/A</v>
      </c>
      <c r="D38" s="154" t="e">
        <f>VLOOKUP(A38,saisie!B$7:AL$26,4,0)</f>
        <v>#N/A</v>
      </c>
      <c r="E38" s="155" t="e">
        <f>VLOOKUP(A38,saisie!B$7:AL$26,5,0)</f>
        <v>#N/A</v>
      </c>
      <c r="F38" s="155" t="e">
        <f>VLOOKUP(A38,saisie!B$7:AL$26,6,0)</f>
        <v>#N/A</v>
      </c>
      <c r="G38" s="155" t="e">
        <f>VLOOKUP(A38,saisie!B$7:AL$26,7,0)</f>
        <v>#N/A</v>
      </c>
      <c r="H38" s="156" t="e">
        <f>VLOOKUP(A38,saisie!B$7:AL$26,8,0)</f>
        <v>#N/A</v>
      </c>
      <c r="I38" s="157" t="e">
        <f>VLOOKUP(A38,saisie!B$7:AL$26,9,0)</f>
        <v>#N/A</v>
      </c>
      <c r="J38" s="154" t="e">
        <f>VLOOKUP(A38,saisie!B$7:AL$26,10,0)</f>
        <v>#N/A</v>
      </c>
      <c r="K38" s="155" t="e">
        <f>VLOOKUP(A38,saisie!B$7:AL$26,11,0)</f>
        <v>#N/A</v>
      </c>
      <c r="L38" s="155" t="e">
        <f>VLOOKUP(A38,saisie!B$7:AL$26,12,0)</f>
        <v>#N/A</v>
      </c>
      <c r="M38" s="155" t="e">
        <f>VLOOKUP(A38,saisie!B$7:AL$26,13,0)</f>
        <v>#N/A</v>
      </c>
      <c r="N38" s="156" t="e">
        <f>VLOOKUP(A38,saisie!B$7:AL$26,14,0)</f>
        <v>#N/A</v>
      </c>
      <c r="O38" s="157" t="e">
        <f>VLOOKUP(A38,saisie!B$7:AL$26,15,0)</f>
        <v>#N/A</v>
      </c>
      <c r="P38" s="154" t="e">
        <f>VLOOKUP(A38,saisie!B$7:AL$26,16,0)</f>
        <v>#N/A</v>
      </c>
      <c r="Q38" s="155" t="e">
        <f>VLOOKUP(A38,saisie!B$7:AL$26,17,0)</f>
        <v>#N/A</v>
      </c>
      <c r="R38" s="155" t="e">
        <f>VLOOKUP(A38,saisie!B$7:AL$26,18,0)</f>
        <v>#N/A</v>
      </c>
      <c r="S38" s="155" t="e">
        <f>VLOOKUP(A38,saisie!B$7:AL$26,19,0)</f>
        <v>#N/A</v>
      </c>
      <c r="T38" s="156" t="e">
        <f>VLOOKUP(A38,saisie!B$7:AL$26,20,0)</f>
        <v>#N/A</v>
      </c>
      <c r="U38" s="157" t="e">
        <f>VLOOKUP(A38,saisie!B$7:AL$26,21,0)</f>
        <v>#N/A</v>
      </c>
      <c r="V38" s="154" t="e">
        <f>VLOOKUP(A38,saisie!B$7:AL$26,22,0)</f>
        <v>#N/A</v>
      </c>
      <c r="W38" s="155" t="e">
        <f>VLOOKUP(A38,saisie!B$7:AL$26,23,0)</f>
        <v>#N/A</v>
      </c>
      <c r="X38" s="155" t="e">
        <f>VLOOKUP(A38,saisie!B$7:AL$26,24,0)</f>
        <v>#N/A</v>
      </c>
      <c r="Y38" s="155" t="e">
        <f>VLOOKUP(A38,saisie!B$7:AL$26,25,0)</f>
        <v>#N/A</v>
      </c>
      <c r="Z38" s="156" t="e">
        <f>VLOOKUP(A38,saisie!B$7:AL$26,26,0)</f>
        <v>#N/A</v>
      </c>
      <c r="AA38" s="157" t="e">
        <f>VLOOKUP(A38,saisie!B$7:AL$26,27,0)</f>
        <v>#N/A</v>
      </c>
      <c r="AB38" s="154" t="e">
        <f>VLOOKUP(A38,saisie!B$7:AL$26,28,0)</f>
        <v>#N/A</v>
      </c>
      <c r="AC38" s="155" t="e">
        <f>VLOOKUP(A38,saisie!B$7:AL$26,29,0)</f>
        <v>#N/A</v>
      </c>
      <c r="AD38" s="155" t="e">
        <f>VLOOKUP(A38,saisie!B$7:AL$26,30,0)</f>
        <v>#N/A</v>
      </c>
      <c r="AE38" s="155" t="e">
        <f>VLOOKUP(A38,saisie!B$7:AL$26,31,0)</f>
        <v>#N/A</v>
      </c>
      <c r="AF38" s="156" t="e">
        <f>VLOOKUP(A38,saisie!B$7:AL$26,32,0)</f>
        <v>#N/A</v>
      </c>
      <c r="AG38" s="157" t="e">
        <f>VLOOKUP(A38,saisie!B$7:AL$26,33,0)</f>
        <v>#N/A</v>
      </c>
      <c r="AH38" s="161" t="e">
        <f>VLOOKUP(A38,saisie!B$7:AL$26,34,0)</f>
        <v>#N/A</v>
      </c>
      <c r="AI38" s="158" t="e">
        <f>VLOOKUP(A38,saisie!B$7:AL$26,35,0)</f>
        <v>#N/A</v>
      </c>
      <c r="AJ38" s="159"/>
    </row>
    <row r="39" spans="1:36" ht="109" customHeight="1" x14ac:dyDescent="0.15">
      <c r="A39" s="160" t="str">
        <f>IF(INFO!B8&gt;32,33,"")</f>
        <v/>
      </c>
      <c r="B39" s="152" t="e">
        <f>VLOOKUP(A39,saisie!B$7:AL$26,2,0)</f>
        <v>#N/A</v>
      </c>
      <c r="C39" s="153" t="e">
        <f>VLOOKUP(A39,saisie!B$7:AL$26,3,0)</f>
        <v>#N/A</v>
      </c>
      <c r="D39" s="154" t="e">
        <f>VLOOKUP(A39,saisie!B$7:AL$26,4,0)</f>
        <v>#N/A</v>
      </c>
      <c r="E39" s="155" t="e">
        <f>VLOOKUP(A39,saisie!B$7:AL$26,5,0)</f>
        <v>#N/A</v>
      </c>
      <c r="F39" s="155" t="e">
        <f>VLOOKUP(A39,saisie!B$7:AL$26,6,0)</f>
        <v>#N/A</v>
      </c>
      <c r="G39" s="155" t="e">
        <f>VLOOKUP(A39,saisie!B$7:AL$26,7,0)</f>
        <v>#N/A</v>
      </c>
      <c r="H39" s="156" t="e">
        <f>VLOOKUP(A39,saisie!B$7:AL$26,8,0)</f>
        <v>#N/A</v>
      </c>
      <c r="I39" s="157" t="e">
        <f>VLOOKUP(A39,saisie!B$7:AL$26,9,0)</f>
        <v>#N/A</v>
      </c>
      <c r="J39" s="154" t="e">
        <f>VLOOKUP(A39,saisie!B$7:AL$26,10,0)</f>
        <v>#N/A</v>
      </c>
      <c r="K39" s="155" t="e">
        <f>VLOOKUP(A39,saisie!B$7:AL$26,11,0)</f>
        <v>#N/A</v>
      </c>
      <c r="L39" s="155" t="e">
        <f>VLOOKUP(A39,saisie!B$7:AL$26,12,0)</f>
        <v>#N/A</v>
      </c>
      <c r="M39" s="155" t="e">
        <f>VLOOKUP(A39,saisie!B$7:AL$26,13,0)</f>
        <v>#N/A</v>
      </c>
      <c r="N39" s="156" t="e">
        <f>VLOOKUP(A39,saisie!B$7:AL$26,14,0)</f>
        <v>#N/A</v>
      </c>
      <c r="O39" s="157" t="e">
        <f>VLOOKUP(A39,saisie!B$7:AL$26,15,0)</f>
        <v>#N/A</v>
      </c>
      <c r="P39" s="154" t="e">
        <f>VLOOKUP(A39,saisie!B$7:AL$26,16,0)</f>
        <v>#N/A</v>
      </c>
      <c r="Q39" s="155" t="e">
        <f>VLOOKUP(A39,saisie!B$7:AL$26,17,0)</f>
        <v>#N/A</v>
      </c>
      <c r="R39" s="155" t="e">
        <f>VLOOKUP(A39,saisie!B$7:AL$26,18,0)</f>
        <v>#N/A</v>
      </c>
      <c r="S39" s="155" t="e">
        <f>VLOOKUP(A39,saisie!B$7:AL$26,19,0)</f>
        <v>#N/A</v>
      </c>
      <c r="T39" s="156" t="e">
        <f>VLOOKUP(A39,saisie!B$7:AL$26,20,0)</f>
        <v>#N/A</v>
      </c>
      <c r="U39" s="157" t="e">
        <f>VLOOKUP(A39,saisie!B$7:AL$26,21,0)</f>
        <v>#N/A</v>
      </c>
      <c r="V39" s="154" t="e">
        <f>VLOOKUP(A39,saisie!B$7:AL$26,22,0)</f>
        <v>#N/A</v>
      </c>
      <c r="W39" s="155" t="e">
        <f>VLOOKUP(A39,saisie!B$7:AL$26,23,0)</f>
        <v>#N/A</v>
      </c>
      <c r="X39" s="155" t="e">
        <f>VLOOKUP(A39,saisie!B$7:AL$26,24,0)</f>
        <v>#N/A</v>
      </c>
      <c r="Y39" s="155" t="e">
        <f>VLOOKUP(A39,saisie!B$7:AL$26,25,0)</f>
        <v>#N/A</v>
      </c>
      <c r="Z39" s="156" t="e">
        <f>VLOOKUP(A39,saisie!B$7:AL$26,26,0)</f>
        <v>#N/A</v>
      </c>
      <c r="AA39" s="157" t="e">
        <f>VLOOKUP(A39,saisie!B$7:AL$26,27,0)</f>
        <v>#N/A</v>
      </c>
      <c r="AB39" s="154" t="e">
        <f>VLOOKUP(A39,saisie!B$7:AL$26,28,0)</f>
        <v>#N/A</v>
      </c>
      <c r="AC39" s="155" t="e">
        <f>VLOOKUP(A39,saisie!B$7:AL$26,29,0)</f>
        <v>#N/A</v>
      </c>
      <c r="AD39" s="155" t="e">
        <f>VLOOKUP(A39,saisie!B$7:AL$26,30,0)</f>
        <v>#N/A</v>
      </c>
      <c r="AE39" s="155" t="e">
        <f>VLOOKUP(A39,saisie!B$7:AL$26,31,0)</f>
        <v>#N/A</v>
      </c>
      <c r="AF39" s="156" t="e">
        <f>VLOOKUP(A39,saisie!B$7:AL$26,32,0)</f>
        <v>#N/A</v>
      </c>
      <c r="AG39" s="157" t="e">
        <f>VLOOKUP(A39,saisie!B$7:AL$26,33,0)</f>
        <v>#N/A</v>
      </c>
      <c r="AH39" s="161" t="e">
        <f>VLOOKUP(A39,saisie!B$7:AL$26,34,0)</f>
        <v>#N/A</v>
      </c>
      <c r="AI39" s="158" t="e">
        <f>VLOOKUP(A39,saisie!B$7:AL$26,35,0)</f>
        <v>#N/A</v>
      </c>
      <c r="AJ39" s="159"/>
    </row>
    <row r="40" spans="1:36" ht="109" customHeight="1" x14ac:dyDescent="0.15">
      <c r="A40" s="160" t="str">
        <f>IF(INFO!B8&gt;33,34,"")</f>
        <v/>
      </c>
      <c r="B40" s="152" t="e">
        <f>VLOOKUP(A40,saisie!B$7:AL$26,2,0)</f>
        <v>#N/A</v>
      </c>
      <c r="C40" s="153" t="e">
        <f>VLOOKUP(A40,saisie!B$7:AL$26,3,0)</f>
        <v>#N/A</v>
      </c>
      <c r="D40" s="154" t="e">
        <f>VLOOKUP(A40,saisie!B$7:AL$26,4,0)</f>
        <v>#N/A</v>
      </c>
      <c r="E40" s="155" t="e">
        <f>VLOOKUP(A40,saisie!B$7:AL$26,5,0)</f>
        <v>#N/A</v>
      </c>
      <c r="F40" s="155" t="e">
        <f>VLOOKUP(A40,saisie!B$7:AL$26,6,0)</f>
        <v>#N/A</v>
      </c>
      <c r="G40" s="155" t="e">
        <f>VLOOKUP(A40,saisie!B$7:AL$26,7,0)</f>
        <v>#N/A</v>
      </c>
      <c r="H40" s="156" t="e">
        <f>VLOOKUP(A40,saisie!B$7:AL$26,8,0)</f>
        <v>#N/A</v>
      </c>
      <c r="I40" s="157" t="e">
        <f>VLOOKUP(A40,saisie!B$7:AL$26,9,0)</f>
        <v>#N/A</v>
      </c>
      <c r="J40" s="154" t="e">
        <f>VLOOKUP(A40,saisie!B$7:AL$26,10,0)</f>
        <v>#N/A</v>
      </c>
      <c r="K40" s="155" t="e">
        <f>VLOOKUP(A40,saisie!B$7:AL$26,11,0)</f>
        <v>#N/A</v>
      </c>
      <c r="L40" s="155" t="e">
        <f>VLOOKUP(A40,saisie!B$7:AL$26,12,0)</f>
        <v>#N/A</v>
      </c>
      <c r="M40" s="155" t="e">
        <f>VLOOKUP(A40,saisie!B$7:AL$26,13,0)</f>
        <v>#N/A</v>
      </c>
      <c r="N40" s="156" t="e">
        <f>VLOOKUP(A40,saisie!B$7:AL$26,14,0)</f>
        <v>#N/A</v>
      </c>
      <c r="O40" s="157" t="e">
        <f>VLOOKUP(A40,saisie!B$7:AL$26,15,0)</f>
        <v>#N/A</v>
      </c>
      <c r="P40" s="154" t="e">
        <f>VLOOKUP(A40,saisie!B$7:AL$26,16,0)</f>
        <v>#N/A</v>
      </c>
      <c r="Q40" s="155" t="e">
        <f>VLOOKUP(A40,saisie!B$7:AL$26,17,0)</f>
        <v>#N/A</v>
      </c>
      <c r="R40" s="155" t="e">
        <f>VLOOKUP(A40,saisie!B$7:AL$26,18,0)</f>
        <v>#N/A</v>
      </c>
      <c r="S40" s="155" t="e">
        <f>VLOOKUP(A40,saisie!B$7:AL$26,19,0)</f>
        <v>#N/A</v>
      </c>
      <c r="T40" s="156" t="e">
        <f>VLOOKUP(A40,saisie!B$7:AL$26,20,0)</f>
        <v>#N/A</v>
      </c>
      <c r="U40" s="157" t="e">
        <f>VLOOKUP(A40,saisie!B$7:AL$26,21,0)</f>
        <v>#N/A</v>
      </c>
      <c r="V40" s="154" t="e">
        <f>VLOOKUP(A40,saisie!B$7:AL$26,22,0)</f>
        <v>#N/A</v>
      </c>
      <c r="W40" s="155" t="e">
        <f>VLOOKUP(A40,saisie!B$7:AL$26,23,0)</f>
        <v>#N/A</v>
      </c>
      <c r="X40" s="155" t="e">
        <f>VLOOKUP(A40,saisie!B$7:AL$26,24,0)</f>
        <v>#N/A</v>
      </c>
      <c r="Y40" s="155" t="e">
        <f>VLOOKUP(A40,saisie!B$7:AL$26,25,0)</f>
        <v>#N/A</v>
      </c>
      <c r="Z40" s="156" t="e">
        <f>VLOOKUP(A40,saisie!B$7:AL$26,26,0)</f>
        <v>#N/A</v>
      </c>
      <c r="AA40" s="157" t="e">
        <f>VLOOKUP(A40,saisie!B$7:AL$26,27,0)</f>
        <v>#N/A</v>
      </c>
      <c r="AB40" s="154" t="e">
        <f>VLOOKUP(A40,saisie!B$7:AL$26,28,0)</f>
        <v>#N/A</v>
      </c>
      <c r="AC40" s="155" t="e">
        <f>VLOOKUP(A40,saisie!B$7:AL$26,29,0)</f>
        <v>#N/A</v>
      </c>
      <c r="AD40" s="155" t="e">
        <f>VLOOKUP(A40,saisie!B$7:AL$26,30,0)</f>
        <v>#N/A</v>
      </c>
      <c r="AE40" s="155" t="e">
        <f>VLOOKUP(A40,saisie!B$7:AL$26,31,0)</f>
        <v>#N/A</v>
      </c>
      <c r="AF40" s="156" t="e">
        <f>VLOOKUP(A40,saisie!B$7:AL$26,32,0)</f>
        <v>#N/A</v>
      </c>
      <c r="AG40" s="157" t="e">
        <f>VLOOKUP(A40,saisie!B$7:AL$26,33,0)</f>
        <v>#N/A</v>
      </c>
      <c r="AH40" s="161" t="e">
        <f>VLOOKUP(A40,saisie!B$7:AL$26,34,0)</f>
        <v>#N/A</v>
      </c>
      <c r="AI40" s="158" t="e">
        <f>VLOOKUP(A40,saisie!B$7:AL$26,35,0)</f>
        <v>#N/A</v>
      </c>
      <c r="AJ40" s="159"/>
    </row>
    <row r="41" spans="1:36" ht="109" customHeight="1" x14ac:dyDescent="0.15">
      <c r="A41" s="160" t="str">
        <f>IF(INFO!B8&gt;34,35,"")</f>
        <v/>
      </c>
      <c r="B41" s="152" t="e">
        <f>VLOOKUP(A41,saisie!B$7:AL$26,2,0)</f>
        <v>#N/A</v>
      </c>
      <c r="C41" s="153" t="e">
        <f>VLOOKUP(A41,saisie!B$7:AL$26,3,0)</f>
        <v>#N/A</v>
      </c>
      <c r="D41" s="154" t="e">
        <f>VLOOKUP(A41,saisie!B$7:AL$26,4,0)</f>
        <v>#N/A</v>
      </c>
      <c r="E41" s="155" t="e">
        <f>VLOOKUP(A41,saisie!B$7:AL$26,5,0)</f>
        <v>#N/A</v>
      </c>
      <c r="F41" s="155" t="e">
        <f>VLOOKUP(A41,saisie!B$7:AL$26,6,0)</f>
        <v>#N/A</v>
      </c>
      <c r="G41" s="155" t="e">
        <f>VLOOKUP(A41,saisie!B$7:AL$26,7,0)</f>
        <v>#N/A</v>
      </c>
      <c r="H41" s="156" t="e">
        <f>VLOOKUP(A41,saisie!B$7:AL$26,8,0)</f>
        <v>#N/A</v>
      </c>
      <c r="I41" s="157" t="e">
        <f>VLOOKUP(A41,saisie!B$7:AL$26,9,0)</f>
        <v>#N/A</v>
      </c>
      <c r="J41" s="154" t="e">
        <f>VLOOKUP(A41,saisie!B$7:AL$26,10,0)</f>
        <v>#N/A</v>
      </c>
      <c r="K41" s="155" t="e">
        <f>VLOOKUP(A41,saisie!B$7:AL$26,11,0)</f>
        <v>#N/A</v>
      </c>
      <c r="L41" s="155" t="e">
        <f>VLOOKUP(A41,saisie!B$7:AL$26,12,0)</f>
        <v>#N/A</v>
      </c>
      <c r="M41" s="155" t="e">
        <f>VLOOKUP(A41,saisie!B$7:AL$26,13,0)</f>
        <v>#N/A</v>
      </c>
      <c r="N41" s="156" t="e">
        <f>VLOOKUP(A41,saisie!B$7:AL$26,14,0)</f>
        <v>#N/A</v>
      </c>
      <c r="O41" s="157" t="e">
        <f>VLOOKUP(A41,saisie!B$7:AL$26,15,0)</f>
        <v>#N/A</v>
      </c>
      <c r="P41" s="154" t="e">
        <f>VLOOKUP(A41,saisie!B$7:AL$26,16,0)</f>
        <v>#N/A</v>
      </c>
      <c r="Q41" s="155" t="e">
        <f>VLOOKUP(A41,saisie!B$7:AL$26,17,0)</f>
        <v>#N/A</v>
      </c>
      <c r="R41" s="155" t="e">
        <f>VLOOKUP(A41,saisie!B$7:AL$26,18,0)</f>
        <v>#N/A</v>
      </c>
      <c r="S41" s="155" t="e">
        <f>VLOOKUP(A41,saisie!B$7:AL$26,19,0)</f>
        <v>#N/A</v>
      </c>
      <c r="T41" s="156" t="e">
        <f>VLOOKUP(A41,saisie!B$7:AL$26,20,0)</f>
        <v>#N/A</v>
      </c>
      <c r="U41" s="157" t="e">
        <f>VLOOKUP(A41,saisie!B$7:AL$26,21,0)</f>
        <v>#N/A</v>
      </c>
      <c r="V41" s="154" t="e">
        <f>VLOOKUP(A41,saisie!B$7:AL$26,22,0)</f>
        <v>#N/A</v>
      </c>
      <c r="W41" s="155" t="e">
        <f>VLOOKUP(A41,saisie!B$7:AL$26,23,0)</f>
        <v>#N/A</v>
      </c>
      <c r="X41" s="155" t="e">
        <f>VLOOKUP(A41,saisie!B$7:AL$26,24,0)</f>
        <v>#N/A</v>
      </c>
      <c r="Y41" s="155" t="e">
        <f>VLOOKUP(A41,saisie!B$7:AL$26,25,0)</f>
        <v>#N/A</v>
      </c>
      <c r="Z41" s="156" t="e">
        <f>VLOOKUP(A41,saisie!B$7:AL$26,26,0)</f>
        <v>#N/A</v>
      </c>
      <c r="AA41" s="157" t="e">
        <f>VLOOKUP(A41,saisie!B$7:AL$26,27,0)</f>
        <v>#N/A</v>
      </c>
      <c r="AB41" s="154" t="e">
        <f>VLOOKUP(A41,saisie!B$7:AL$26,28,0)</f>
        <v>#N/A</v>
      </c>
      <c r="AC41" s="155" t="e">
        <f>VLOOKUP(A41,saisie!B$7:AL$26,29,0)</f>
        <v>#N/A</v>
      </c>
      <c r="AD41" s="155" t="e">
        <f>VLOOKUP(A41,saisie!B$7:AL$26,30,0)</f>
        <v>#N/A</v>
      </c>
      <c r="AE41" s="155" t="e">
        <f>VLOOKUP(A41,saisie!B$7:AL$26,31,0)</f>
        <v>#N/A</v>
      </c>
      <c r="AF41" s="156" t="e">
        <f>VLOOKUP(A41,saisie!B$7:AL$26,32,0)</f>
        <v>#N/A</v>
      </c>
      <c r="AG41" s="157" t="e">
        <f>VLOOKUP(A41,saisie!B$7:AL$26,33,0)</f>
        <v>#N/A</v>
      </c>
      <c r="AH41" s="161" t="e">
        <f>VLOOKUP(A41,saisie!B$7:AL$26,34,0)</f>
        <v>#N/A</v>
      </c>
      <c r="AI41" s="158" t="e">
        <f>VLOOKUP(A41,saisie!B$7:AL$26,35,0)</f>
        <v>#N/A</v>
      </c>
      <c r="AJ41" s="159"/>
    </row>
    <row r="42" spans="1:36" ht="109" customHeight="1" x14ac:dyDescent="0.15">
      <c r="A42" s="160" t="str">
        <f>IF(INFO!B8&gt;35,36,"")</f>
        <v/>
      </c>
      <c r="B42" s="152" t="e">
        <f>VLOOKUP(A42,saisie!B$7:AL$26,2,0)</f>
        <v>#N/A</v>
      </c>
      <c r="C42" s="153" t="e">
        <f>VLOOKUP(A42,saisie!B$7:AL$26,3,0)</f>
        <v>#N/A</v>
      </c>
      <c r="D42" s="154" t="e">
        <f>VLOOKUP(A42,saisie!B$7:AL$26,4,0)</f>
        <v>#N/A</v>
      </c>
      <c r="E42" s="155" t="e">
        <f>VLOOKUP(A42,saisie!B$7:AL$26,5,0)</f>
        <v>#N/A</v>
      </c>
      <c r="F42" s="155" t="e">
        <f>VLOOKUP(A42,saisie!B$7:AL$26,6,0)</f>
        <v>#N/A</v>
      </c>
      <c r="G42" s="155" t="e">
        <f>VLOOKUP(A42,saisie!B$7:AL$26,7,0)</f>
        <v>#N/A</v>
      </c>
      <c r="H42" s="156" t="e">
        <f>VLOOKUP(A42,saisie!B$7:AL$26,8,0)</f>
        <v>#N/A</v>
      </c>
      <c r="I42" s="157" t="e">
        <f>VLOOKUP(A42,saisie!B$7:AL$26,9,0)</f>
        <v>#N/A</v>
      </c>
      <c r="J42" s="154" t="e">
        <f>VLOOKUP(A42,saisie!B$7:AL$26,10,0)</f>
        <v>#N/A</v>
      </c>
      <c r="K42" s="155" t="e">
        <f>VLOOKUP(A42,saisie!B$7:AL$26,11,0)</f>
        <v>#N/A</v>
      </c>
      <c r="L42" s="155" t="e">
        <f>VLOOKUP(A42,saisie!B$7:AL$26,12,0)</f>
        <v>#N/A</v>
      </c>
      <c r="M42" s="155" t="e">
        <f>VLOOKUP(A42,saisie!B$7:AL$26,13,0)</f>
        <v>#N/A</v>
      </c>
      <c r="N42" s="156" t="e">
        <f>VLOOKUP(A42,saisie!B$7:AL$26,14,0)</f>
        <v>#N/A</v>
      </c>
      <c r="O42" s="157" t="e">
        <f>VLOOKUP(A42,saisie!B$7:AL$26,15,0)</f>
        <v>#N/A</v>
      </c>
      <c r="P42" s="154" t="e">
        <f>VLOOKUP(A42,saisie!B$7:AL$26,16,0)</f>
        <v>#N/A</v>
      </c>
      <c r="Q42" s="155" t="e">
        <f>VLOOKUP(A42,saisie!B$7:AL$26,17,0)</f>
        <v>#N/A</v>
      </c>
      <c r="R42" s="155" t="e">
        <f>VLOOKUP(A42,saisie!B$7:AL$26,18,0)</f>
        <v>#N/A</v>
      </c>
      <c r="S42" s="155" t="e">
        <f>VLOOKUP(A42,saisie!B$7:AL$26,19,0)</f>
        <v>#N/A</v>
      </c>
      <c r="T42" s="156" t="e">
        <f>VLOOKUP(A42,saisie!B$7:AL$26,20,0)</f>
        <v>#N/A</v>
      </c>
      <c r="U42" s="157" t="e">
        <f>VLOOKUP(A42,saisie!B$7:AL$26,21,0)</f>
        <v>#N/A</v>
      </c>
      <c r="V42" s="154" t="e">
        <f>VLOOKUP(A42,saisie!B$7:AL$26,22,0)</f>
        <v>#N/A</v>
      </c>
      <c r="W42" s="155" t="e">
        <f>VLOOKUP(A42,saisie!B$7:AL$26,23,0)</f>
        <v>#N/A</v>
      </c>
      <c r="X42" s="155" t="e">
        <f>VLOOKUP(A42,saisie!B$7:AL$26,24,0)</f>
        <v>#N/A</v>
      </c>
      <c r="Y42" s="155" t="e">
        <f>VLOOKUP(A42,saisie!B$7:AL$26,25,0)</f>
        <v>#N/A</v>
      </c>
      <c r="Z42" s="156" t="e">
        <f>VLOOKUP(A42,saisie!B$7:AL$26,26,0)</f>
        <v>#N/A</v>
      </c>
      <c r="AA42" s="157" t="e">
        <f>VLOOKUP(A42,saisie!B$7:AL$26,27,0)</f>
        <v>#N/A</v>
      </c>
      <c r="AB42" s="154" t="e">
        <f>VLOOKUP(A42,saisie!B$7:AL$26,28,0)</f>
        <v>#N/A</v>
      </c>
      <c r="AC42" s="155" t="e">
        <f>VLOOKUP(A42,saisie!B$7:AL$26,29,0)</f>
        <v>#N/A</v>
      </c>
      <c r="AD42" s="155" t="e">
        <f>VLOOKUP(A42,saisie!B$7:AL$26,30,0)</f>
        <v>#N/A</v>
      </c>
      <c r="AE42" s="155" t="e">
        <f>VLOOKUP(A42,saisie!B$7:AL$26,31,0)</f>
        <v>#N/A</v>
      </c>
      <c r="AF42" s="156" t="e">
        <f>VLOOKUP(A42,saisie!B$7:AL$26,32,0)</f>
        <v>#N/A</v>
      </c>
      <c r="AG42" s="157" t="e">
        <f>VLOOKUP(A42,saisie!B$7:AL$26,33,0)</f>
        <v>#N/A</v>
      </c>
      <c r="AH42" s="161" t="e">
        <f>VLOOKUP(A42,saisie!B$7:AL$26,34,0)</f>
        <v>#N/A</v>
      </c>
      <c r="AI42" s="158" t="e">
        <f>VLOOKUP(A42,saisie!B$7:AL$26,35,0)</f>
        <v>#N/A</v>
      </c>
      <c r="AJ42" s="159"/>
    </row>
    <row r="43" spans="1:36" ht="109" customHeight="1" x14ac:dyDescent="0.15">
      <c r="A43" s="160" t="str">
        <f>IF(INFO!B8&gt;36,37,"")</f>
        <v/>
      </c>
      <c r="B43" s="152" t="e">
        <f>VLOOKUP(A43,saisie!B$7:AL$26,2,0)</f>
        <v>#N/A</v>
      </c>
      <c r="C43" s="153" t="e">
        <f>VLOOKUP(A43,saisie!B$7:AL$26,3,0)</f>
        <v>#N/A</v>
      </c>
      <c r="D43" s="154" t="e">
        <f>VLOOKUP(A43,saisie!B$7:AL$26,4,0)</f>
        <v>#N/A</v>
      </c>
      <c r="E43" s="155" t="e">
        <f>VLOOKUP(A43,saisie!B$7:AL$26,5,0)</f>
        <v>#N/A</v>
      </c>
      <c r="F43" s="155" t="e">
        <f>VLOOKUP(A43,saisie!B$7:AL$26,6,0)</f>
        <v>#N/A</v>
      </c>
      <c r="G43" s="155" t="e">
        <f>VLOOKUP(A43,saisie!B$7:AL$26,7,0)</f>
        <v>#N/A</v>
      </c>
      <c r="H43" s="156" t="e">
        <f>VLOOKUP(A43,saisie!B$7:AL$26,8,0)</f>
        <v>#N/A</v>
      </c>
      <c r="I43" s="157" t="e">
        <f>VLOOKUP(A43,saisie!B$7:AL$26,9,0)</f>
        <v>#N/A</v>
      </c>
      <c r="J43" s="154" t="e">
        <f>VLOOKUP(A43,saisie!B$7:AL$26,10,0)</f>
        <v>#N/A</v>
      </c>
      <c r="K43" s="155" t="e">
        <f>VLOOKUP(A43,saisie!B$7:AL$26,11,0)</f>
        <v>#N/A</v>
      </c>
      <c r="L43" s="155" t="e">
        <f>VLOOKUP(A43,saisie!B$7:AL$26,12,0)</f>
        <v>#N/A</v>
      </c>
      <c r="M43" s="155" t="e">
        <f>VLOOKUP(A43,saisie!B$7:AL$26,13,0)</f>
        <v>#N/A</v>
      </c>
      <c r="N43" s="156" t="e">
        <f>VLOOKUP(A43,saisie!B$7:AL$26,14,0)</f>
        <v>#N/A</v>
      </c>
      <c r="O43" s="157" t="e">
        <f>VLOOKUP(A43,saisie!B$7:AL$26,15,0)</f>
        <v>#N/A</v>
      </c>
      <c r="P43" s="154" t="e">
        <f>VLOOKUP(A43,saisie!B$7:AL$26,16,0)</f>
        <v>#N/A</v>
      </c>
      <c r="Q43" s="155" t="e">
        <f>VLOOKUP(A43,saisie!B$7:AL$26,17,0)</f>
        <v>#N/A</v>
      </c>
      <c r="R43" s="155" t="e">
        <f>VLOOKUP(A43,saisie!B$7:AL$26,18,0)</f>
        <v>#N/A</v>
      </c>
      <c r="S43" s="155" t="e">
        <f>VLOOKUP(A43,saisie!B$7:AL$26,19,0)</f>
        <v>#N/A</v>
      </c>
      <c r="T43" s="156" t="e">
        <f>VLOOKUP(A43,saisie!B$7:AL$26,20,0)</f>
        <v>#N/A</v>
      </c>
      <c r="U43" s="157" t="e">
        <f>VLOOKUP(A43,saisie!B$7:AL$26,21,0)</f>
        <v>#N/A</v>
      </c>
      <c r="V43" s="154" t="e">
        <f>VLOOKUP(A43,saisie!B$7:AL$26,22,0)</f>
        <v>#N/A</v>
      </c>
      <c r="W43" s="155" t="e">
        <f>VLOOKUP(A43,saisie!B$7:AL$26,23,0)</f>
        <v>#N/A</v>
      </c>
      <c r="X43" s="155" t="e">
        <f>VLOOKUP(A43,saisie!B$7:AL$26,24,0)</f>
        <v>#N/A</v>
      </c>
      <c r="Y43" s="155" t="e">
        <f>VLOOKUP(A43,saisie!B$7:AL$26,25,0)</f>
        <v>#N/A</v>
      </c>
      <c r="Z43" s="156" t="e">
        <f>VLOOKUP(A43,saisie!B$7:AL$26,26,0)</f>
        <v>#N/A</v>
      </c>
      <c r="AA43" s="157" t="e">
        <f>VLOOKUP(A43,saisie!B$7:AL$26,27,0)</f>
        <v>#N/A</v>
      </c>
      <c r="AB43" s="154" t="e">
        <f>VLOOKUP(A43,saisie!B$7:AL$26,28,0)</f>
        <v>#N/A</v>
      </c>
      <c r="AC43" s="155" t="e">
        <f>VLOOKUP(A43,saisie!B$7:AL$26,29,0)</f>
        <v>#N/A</v>
      </c>
      <c r="AD43" s="155" t="e">
        <f>VLOOKUP(A43,saisie!B$7:AL$26,30,0)</f>
        <v>#N/A</v>
      </c>
      <c r="AE43" s="155" t="e">
        <f>VLOOKUP(A43,saisie!B$7:AL$26,31,0)</f>
        <v>#N/A</v>
      </c>
      <c r="AF43" s="156" t="e">
        <f>VLOOKUP(A43,saisie!B$7:AL$26,32,0)</f>
        <v>#N/A</v>
      </c>
      <c r="AG43" s="157" t="e">
        <f>VLOOKUP(A43,saisie!B$7:AL$26,33,0)</f>
        <v>#N/A</v>
      </c>
      <c r="AH43" s="161" t="e">
        <f>VLOOKUP(A43,saisie!B$7:AL$26,34,0)</f>
        <v>#N/A</v>
      </c>
      <c r="AI43" s="158" t="e">
        <f>VLOOKUP(A43,saisie!B$7:AL$26,35,0)</f>
        <v>#N/A</v>
      </c>
      <c r="AJ43" s="159"/>
    </row>
    <row r="44" spans="1:36" ht="109" customHeight="1" x14ac:dyDescent="0.15">
      <c r="A44" s="160" t="str">
        <f>IF(INFO!B8&gt;37,38,"")</f>
        <v/>
      </c>
      <c r="B44" s="152" t="e">
        <f>VLOOKUP(A44,saisie!B$7:AL$26,2,0)</f>
        <v>#N/A</v>
      </c>
      <c r="C44" s="153" t="e">
        <f>VLOOKUP(A44,saisie!B$7:AL$26,3,0)</f>
        <v>#N/A</v>
      </c>
      <c r="D44" s="154" t="e">
        <f>VLOOKUP(A44,saisie!B$7:AL$26,4,0)</f>
        <v>#N/A</v>
      </c>
      <c r="E44" s="155" t="e">
        <f>VLOOKUP(A44,saisie!B$7:AL$26,5,0)</f>
        <v>#N/A</v>
      </c>
      <c r="F44" s="155" t="e">
        <f>VLOOKUP(A44,saisie!B$7:AL$26,6,0)</f>
        <v>#N/A</v>
      </c>
      <c r="G44" s="155" t="e">
        <f>VLOOKUP(A44,saisie!B$7:AL$26,7,0)</f>
        <v>#N/A</v>
      </c>
      <c r="H44" s="156" t="e">
        <f>VLOOKUP(A44,saisie!B$7:AL$26,8,0)</f>
        <v>#N/A</v>
      </c>
      <c r="I44" s="157" t="e">
        <f>VLOOKUP(A44,saisie!B$7:AL$26,9,0)</f>
        <v>#N/A</v>
      </c>
      <c r="J44" s="154" t="e">
        <f>VLOOKUP(A44,saisie!B$7:AL$26,10,0)</f>
        <v>#N/A</v>
      </c>
      <c r="K44" s="155" t="e">
        <f>VLOOKUP(A44,saisie!B$7:AL$26,11,0)</f>
        <v>#N/A</v>
      </c>
      <c r="L44" s="155" t="e">
        <f>VLOOKUP(A44,saisie!B$7:AL$26,12,0)</f>
        <v>#N/A</v>
      </c>
      <c r="M44" s="155" t="e">
        <f>VLOOKUP(A44,saisie!B$7:AL$26,13,0)</f>
        <v>#N/A</v>
      </c>
      <c r="N44" s="156" t="e">
        <f>VLOOKUP(A44,saisie!B$7:AL$26,14,0)</f>
        <v>#N/A</v>
      </c>
      <c r="O44" s="157" t="e">
        <f>VLOOKUP(A44,saisie!B$7:AL$26,15,0)</f>
        <v>#N/A</v>
      </c>
      <c r="P44" s="154" t="e">
        <f>VLOOKUP(A44,saisie!B$7:AL$26,16,0)</f>
        <v>#N/A</v>
      </c>
      <c r="Q44" s="155" t="e">
        <f>VLOOKUP(A44,saisie!B$7:AL$26,17,0)</f>
        <v>#N/A</v>
      </c>
      <c r="R44" s="155" t="e">
        <f>VLOOKUP(A44,saisie!B$7:AL$26,18,0)</f>
        <v>#N/A</v>
      </c>
      <c r="S44" s="155" t="e">
        <f>VLOOKUP(A44,saisie!B$7:AL$26,19,0)</f>
        <v>#N/A</v>
      </c>
      <c r="T44" s="156" t="e">
        <f>VLOOKUP(A44,saisie!B$7:AL$26,20,0)</f>
        <v>#N/A</v>
      </c>
      <c r="U44" s="157" t="e">
        <f>VLOOKUP(A44,saisie!B$7:AL$26,21,0)</f>
        <v>#N/A</v>
      </c>
      <c r="V44" s="154" t="e">
        <f>VLOOKUP(A44,saisie!B$7:AL$26,22,0)</f>
        <v>#N/A</v>
      </c>
      <c r="W44" s="155" t="e">
        <f>VLOOKUP(A44,saisie!B$7:AL$26,23,0)</f>
        <v>#N/A</v>
      </c>
      <c r="X44" s="155" t="e">
        <f>VLOOKUP(A44,saisie!B$7:AL$26,24,0)</f>
        <v>#N/A</v>
      </c>
      <c r="Y44" s="155" t="e">
        <f>VLOOKUP(A44,saisie!B$7:AL$26,25,0)</f>
        <v>#N/A</v>
      </c>
      <c r="Z44" s="156" t="e">
        <f>VLOOKUP(A44,saisie!B$7:AL$26,26,0)</f>
        <v>#N/A</v>
      </c>
      <c r="AA44" s="157" t="e">
        <f>VLOOKUP(A44,saisie!B$7:AL$26,27,0)</f>
        <v>#N/A</v>
      </c>
      <c r="AB44" s="154" t="e">
        <f>VLOOKUP(A44,saisie!B$7:AL$26,28,0)</f>
        <v>#N/A</v>
      </c>
      <c r="AC44" s="155" t="e">
        <f>VLOOKUP(A44,saisie!B$7:AL$26,29,0)</f>
        <v>#N/A</v>
      </c>
      <c r="AD44" s="155" t="e">
        <f>VLOOKUP(A44,saisie!B$7:AL$26,30,0)</f>
        <v>#N/A</v>
      </c>
      <c r="AE44" s="155" t="e">
        <f>VLOOKUP(A44,saisie!B$7:AL$26,31,0)</f>
        <v>#N/A</v>
      </c>
      <c r="AF44" s="156" t="e">
        <f>VLOOKUP(A44,saisie!B$7:AL$26,32,0)</f>
        <v>#N/A</v>
      </c>
      <c r="AG44" s="157" t="e">
        <f>VLOOKUP(A44,saisie!B$7:AL$26,33,0)</f>
        <v>#N/A</v>
      </c>
      <c r="AH44" s="161" t="e">
        <f>VLOOKUP(A44,saisie!B$7:AL$26,34,0)</f>
        <v>#N/A</v>
      </c>
      <c r="AI44" s="158" t="e">
        <f>VLOOKUP(A44,saisie!B$7:AL$26,35,0)</f>
        <v>#N/A</v>
      </c>
      <c r="AJ44" s="159"/>
    </row>
    <row r="45" spans="1:36" ht="109" customHeight="1" x14ac:dyDescent="0.15">
      <c r="A45" s="160" t="str">
        <f>IF(INFO!B8&gt;38,39,"")</f>
        <v/>
      </c>
      <c r="B45" s="152" t="e">
        <f>VLOOKUP(A45,saisie!B$7:AL$26,2,0)</f>
        <v>#N/A</v>
      </c>
      <c r="C45" s="153" t="e">
        <f>VLOOKUP(A45,saisie!B$7:AL$26,3,0)</f>
        <v>#N/A</v>
      </c>
      <c r="D45" s="154" t="e">
        <f>VLOOKUP(A45,saisie!B$7:AL$26,4,0)</f>
        <v>#N/A</v>
      </c>
      <c r="E45" s="155" t="e">
        <f>VLOOKUP(A45,saisie!B$7:AL$26,5,0)</f>
        <v>#N/A</v>
      </c>
      <c r="F45" s="155" t="e">
        <f>VLOOKUP(A45,saisie!B$7:AL$26,6,0)</f>
        <v>#N/A</v>
      </c>
      <c r="G45" s="155" t="e">
        <f>VLOOKUP(A45,saisie!B$7:AL$26,7,0)</f>
        <v>#N/A</v>
      </c>
      <c r="H45" s="156" t="e">
        <f>VLOOKUP(A45,saisie!B$7:AL$26,8,0)</f>
        <v>#N/A</v>
      </c>
      <c r="I45" s="157" t="e">
        <f>VLOOKUP(A45,saisie!B$7:AL$26,9,0)</f>
        <v>#N/A</v>
      </c>
      <c r="J45" s="154" t="e">
        <f>VLOOKUP(A45,saisie!B$7:AL$26,10,0)</f>
        <v>#N/A</v>
      </c>
      <c r="K45" s="155" t="e">
        <f>VLOOKUP(A45,saisie!B$7:AL$26,11,0)</f>
        <v>#N/A</v>
      </c>
      <c r="L45" s="155" t="e">
        <f>VLOOKUP(A45,saisie!B$7:AL$26,12,0)</f>
        <v>#N/A</v>
      </c>
      <c r="M45" s="155" t="e">
        <f>VLOOKUP(A45,saisie!B$7:AL$26,13,0)</f>
        <v>#N/A</v>
      </c>
      <c r="N45" s="156" t="e">
        <f>VLOOKUP(A45,saisie!B$7:AL$26,14,0)</f>
        <v>#N/A</v>
      </c>
      <c r="O45" s="157" t="e">
        <f>VLOOKUP(A45,saisie!B$7:AL$26,15,0)</f>
        <v>#N/A</v>
      </c>
      <c r="P45" s="154" t="e">
        <f>VLOOKUP(A45,saisie!B$7:AL$26,16,0)</f>
        <v>#N/A</v>
      </c>
      <c r="Q45" s="155" t="e">
        <f>VLOOKUP(A45,saisie!B$7:AL$26,17,0)</f>
        <v>#N/A</v>
      </c>
      <c r="R45" s="155" t="e">
        <f>VLOOKUP(A45,saisie!B$7:AL$26,18,0)</f>
        <v>#N/A</v>
      </c>
      <c r="S45" s="155" t="e">
        <f>VLOOKUP(A45,saisie!B$7:AL$26,19,0)</f>
        <v>#N/A</v>
      </c>
      <c r="T45" s="156" t="e">
        <f>VLOOKUP(A45,saisie!B$7:AL$26,20,0)</f>
        <v>#N/A</v>
      </c>
      <c r="U45" s="157" t="e">
        <f>VLOOKUP(A45,saisie!B$7:AL$26,21,0)</f>
        <v>#N/A</v>
      </c>
      <c r="V45" s="154" t="e">
        <f>VLOOKUP(A45,saisie!B$7:AL$26,22,0)</f>
        <v>#N/A</v>
      </c>
      <c r="W45" s="155" t="e">
        <f>VLOOKUP(A45,saisie!B$7:AL$26,23,0)</f>
        <v>#N/A</v>
      </c>
      <c r="X45" s="155" t="e">
        <f>VLOOKUP(A45,saisie!B$7:AL$26,24,0)</f>
        <v>#N/A</v>
      </c>
      <c r="Y45" s="155" t="e">
        <f>VLOOKUP(A45,saisie!B$7:AL$26,25,0)</f>
        <v>#N/A</v>
      </c>
      <c r="Z45" s="156" t="e">
        <f>VLOOKUP(A45,saisie!B$7:AL$26,26,0)</f>
        <v>#N/A</v>
      </c>
      <c r="AA45" s="157" t="e">
        <f>VLOOKUP(A45,saisie!B$7:AL$26,27,0)</f>
        <v>#N/A</v>
      </c>
      <c r="AB45" s="154" t="e">
        <f>VLOOKUP(A45,saisie!B$7:AL$26,28,0)</f>
        <v>#N/A</v>
      </c>
      <c r="AC45" s="155" t="e">
        <f>VLOOKUP(A45,saisie!B$7:AL$26,29,0)</f>
        <v>#N/A</v>
      </c>
      <c r="AD45" s="155" t="e">
        <f>VLOOKUP(A45,saisie!B$7:AL$26,30,0)</f>
        <v>#N/A</v>
      </c>
      <c r="AE45" s="155" t="e">
        <f>VLOOKUP(A45,saisie!B$7:AL$26,31,0)</f>
        <v>#N/A</v>
      </c>
      <c r="AF45" s="156" t="e">
        <f>VLOOKUP(A45,saisie!B$7:AL$26,32,0)</f>
        <v>#N/A</v>
      </c>
      <c r="AG45" s="157" t="e">
        <f>VLOOKUP(A45,saisie!B$7:AL$26,33,0)</f>
        <v>#N/A</v>
      </c>
      <c r="AH45" s="161" t="e">
        <f>VLOOKUP(A45,saisie!B$7:AL$26,34,0)</f>
        <v>#N/A</v>
      </c>
      <c r="AI45" s="158" t="e">
        <f>VLOOKUP(A45,saisie!B$7:AL$26,35,0)</f>
        <v>#N/A</v>
      </c>
      <c r="AJ45" s="159"/>
    </row>
    <row r="46" spans="1:36" ht="109" customHeight="1" thickBot="1" x14ac:dyDescent="0.2">
      <c r="A46" s="162" t="str">
        <f>IF(INFO!B8&gt;39,40,"")</f>
        <v/>
      </c>
      <c r="B46" s="163" t="e">
        <f>VLOOKUP(A46,saisie!B$7:AL$26,2,0)</f>
        <v>#N/A</v>
      </c>
      <c r="C46" s="164" t="e">
        <f>VLOOKUP(A46,saisie!B$7:AL$26,3,0)</f>
        <v>#N/A</v>
      </c>
      <c r="D46" s="165" t="e">
        <f>VLOOKUP(A46,saisie!B$7:AL$26,4,0)</f>
        <v>#N/A</v>
      </c>
      <c r="E46" s="166" t="e">
        <f>VLOOKUP(A46,saisie!B$7:AL$26,5,0)</f>
        <v>#N/A</v>
      </c>
      <c r="F46" s="166" t="e">
        <f>VLOOKUP(A46,saisie!B$7:AL$26,6,0)</f>
        <v>#N/A</v>
      </c>
      <c r="G46" s="166" t="e">
        <f>VLOOKUP(A46,saisie!B$7:AL$26,7,0)</f>
        <v>#N/A</v>
      </c>
      <c r="H46" s="167" t="e">
        <f>VLOOKUP(A46,saisie!B$7:AL$26,8,0)</f>
        <v>#N/A</v>
      </c>
      <c r="I46" s="168" t="e">
        <f>VLOOKUP(A46,saisie!B$7:AL$26,9,0)</f>
        <v>#N/A</v>
      </c>
      <c r="J46" s="165" t="e">
        <f>VLOOKUP(A46,saisie!B$7:AL$26,10,0)</f>
        <v>#N/A</v>
      </c>
      <c r="K46" s="166" t="e">
        <f>VLOOKUP(A46,saisie!B$7:AL$26,11,0)</f>
        <v>#N/A</v>
      </c>
      <c r="L46" s="166" t="e">
        <f>VLOOKUP(A46,saisie!B$7:AL$26,12,0)</f>
        <v>#N/A</v>
      </c>
      <c r="M46" s="166" t="e">
        <f>VLOOKUP(A46,saisie!B$7:AL$26,13,0)</f>
        <v>#N/A</v>
      </c>
      <c r="N46" s="167" t="e">
        <f>VLOOKUP(A46,saisie!B$7:AL$26,14,0)</f>
        <v>#N/A</v>
      </c>
      <c r="O46" s="168" t="e">
        <f>VLOOKUP(A46,saisie!B$7:AL$26,15,0)</f>
        <v>#N/A</v>
      </c>
      <c r="P46" s="165" t="e">
        <f>VLOOKUP(A46,saisie!B$7:AL$26,16,0)</f>
        <v>#N/A</v>
      </c>
      <c r="Q46" s="166" t="e">
        <f>VLOOKUP(A46,saisie!B$7:AL$26,17,0)</f>
        <v>#N/A</v>
      </c>
      <c r="R46" s="166" t="e">
        <f>VLOOKUP(A46,saisie!B$7:AL$26,18,0)</f>
        <v>#N/A</v>
      </c>
      <c r="S46" s="166" t="e">
        <f>VLOOKUP(A46,saisie!B$7:AL$26,19,0)</f>
        <v>#N/A</v>
      </c>
      <c r="T46" s="167" t="e">
        <f>VLOOKUP(A46,saisie!B$7:AL$26,20,0)</f>
        <v>#N/A</v>
      </c>
      <c r="U46" s="168" t="e">
        <f>VLOOKUP(A46,saisie!B$7:AL$26,21,0)</f>
        <v>#N/A</v>
      </c>
      <c r="V46" s="165" t="e">
        <f>VLOOKUP(A46,saisie!B$7:AL$26,22,0)</f>
        <v>#N/A</v>
      </c>
      <c r="W46" s="166" t="e">
        <f>VLOOKUP(A46,saisie!B$7:AL$26,23,0)</f>
        <v>#N/A</v>
      </c>
      <c r="X46" s="166" t="e">
        <f>VLOOKUP(A46,saisie!B$7:AL$26,24,0)</f>
        <v>#N/A</v>
      </c>
      <c r="Y46" s="166" t="e">
        <f>VLOOKUP(A46,saisie!B$7:AL$26,25,0)</f>
        <v>#N/A</v>
      </c>
      <c r="Z46" s="167" t="e">
        <f>VLOOKUP(A46,saisie!B$7:AL$26,26,0)</f>
        <v>#N/A</v>
      </c>
      <c r="AA46" s="168" t="e">
        <f>VLOOKUP(A46,saisie!B$7:AL$26,27,0)</f>
        <v>#N/A</v>
      </c>
      <c r="AB46" s="165" t="e">
        <f>VLOOKUP(A46,saisie!B$7:AL$26,28,0)</f>
        <v>#N/A</v>
      </c>
      <c r="AC46" s="166" t="e">
        <f>VLOOKUP(A46,saisie!B$7:AL$26,29,0)</f>
        <v>#N/A</v>
      </c>
      <c r="AD46" s="166" t="e">
        <f>VLOOKUP(A46,saisie!B$7:AL$26,30,0)</f>
        <v>#N/A</v>
      </c>
      <c r="AE46" s="166" t="e">
        <f>VLOOKUP(A46,saisie!B$7:AL$26,31,0)</f>
        <v>#N/A</v>
      </c>
      <c r="AF46" s="167" t="e">
        <f>VLOOKUP(A46,saisie!B$7:AL$26,32,0)</f>
        <v>#N/A</v>
      </c>
      <c r="AG46" s="168" t="e">
        <f>VLOOKUP(A46,saisie!B$7:AL$26,33,0)</f>
        <v>#N/A</v>
      </c>
      <c r="AH46" s="169" t="e">
        <f>VLOOKUP(A46,saisie!B$7:AL$26,34,0)</f>
        <v>#N/A</v>
      </c>
      <c r="AI46" s="170" t="e">
        <f>VLOOKUP(A46,saisie!B$7:AL$26,35,0)</f>
        <v>#N/A</v>
      </c>
      <c r="AJ46" s="159"/>
    </row>
  </sheetData>
  <sheetProtection algorithmName="SHA-512" hashValue="Sey3vmmbYZOb1F4Liva/DVdtJpoW08WQuVC++FbiOrURm359ETunYksFINYvNuEOAbQGurq3quiYZfxwxUWf6w==" saltValue="bnW8lQPpq9yMtvARAuq6ig==" spinCount="100000" sheet="1" scenarios="1" formatColumns="0" selectLockedCells="1"/>
  <mergeCells count="27">
    <mergeCell ref="A3:AI4"/>
    <mergeCell ref="AJ5:AJ6"/>
    <mergeCell ref="A5:A6"/>
    <mergeCell ref="H5:H6"/>
    <mergeCell ref="AI5:AI6"/>
    <mergeCell ref="B5:B6"/>
    <mergeCell ref="N5:N6"/>
    <mergeCell ref="T5:T6"/>
    <mergeCell ref="Z5:Z6"/>
    <mergeCell ref="AH5:AH6"/>
    <mergeCell ref="C5:C6"/>
    <mergeCell ref="AF5:AF6"/>
    <mergeCell ref="I5:I6"/>
    <mergeCell ref="O5:O6"/>
    <mergeCell ref="U5:U6"/>
    <mergeCell ref="AA5:AA6"/>
    <mergeCell ref="AG5:AG6"/>
    <mergeCell ref="E5:G6"/>
    <mergeCell ref="K5:M6"/>
    <mergeCell ref="Q5:S6"/>
    <mergeCell ref="W5:Y6"/>
    <mergeCell ref="AC5:AE6"/>
    <mergeCell ref="D5:D6"/>
    <mergeCell ref="J5:J6"/>
    <mergeCell ref="P5:P6"/>
    <mergeCell ref="V5:V6"/>
    <mergeCell ref="AB5:AB6"/>
  </mergeCells>
  <phoneticPr fontId="2"/>
  <conditionalFormatting sqref="A7:A46">
    <cfRule type="containsBlanks" dxfId="26" priority="1">
      <formula>LEN(TRIM(A7))=0</formula>
    </cfRule>
  </conditionalFormatting>
  <conditionalFormatting sqref="B7:AI46">
    <cfRule type="containsErrors" dxfId="25" priority="7">
      <formula>ISERROR(B7)</formula>
    </cfRule>
    <cfRule type="cellIs" dxfId="24" priority="6" operator="equal">
      <formula>0</formula>
    </cfRule>
  </conditionalFormatting>
  <printOptions horizontalCentered="1" verticalCentered="1"/>
  <pageMargins left="0" right="0" top="0.19685039370078741" bottom="0.19685039370078741" header="0" footer="0"/>
  <pageSetup paperSize="9" scale="15" orientation="landscape" horizontalDpi="4294967294" verticalDpi="4294967294" r:id="rId1"/>
  <rowBreaks count="1" manualBreakCount="1">
    <brk id="26" max="34" man="1"/>
  </rowBreaks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pageSetUpPr fitToPage="1"/>
  </sheetPr>
  <dimension ref="A1:O31"/>
  <sheetViews>
    <sheetView showGridLines="0" zoomScale="88" zoomScaleSheetLayoutView="100" workbookViewId="0">
      <selection activeCell="D36" sqref="D36"/>
    </sheetView>
  </sheetViews>
  <sheetFormatPr baseColWidth="10" defaultColWidth="6.83203125" defaultRowHeight="16" x14ac:dyDescent="0.15"/>
  <cols>
    <col min="1" max="1" width="15.33203125" style="1" bestFit="1" customWidth="1"/>
    <col min="2" max="2" width="25.6640625" style="1" customWidth="1"/>
    <col min="3" max="5" width="8.6640625" style="1" customWidth="1"/>
    <col min="6" max="6" width="8.5" style="1" bestFit="1" customWidth="1"/>
    <col min="7" max="7" width="8.5" style="1" customWidth="1"/>
    <col min="8" max="8" width="3.6640625" style="1" customWidth="1"/>
    <col min="9" max="9" width="15.33203125" style="1" bestFit="1" customWidth="1"/>
    <col min="10" max="10" width="25.6640625" style="1" customWidth="1"/>
    <col min="11" max="13" width="8.6640625" style="1" customWidth="1"/>
    <col min="14" max="14" width="8.5" style="1" customWidth="1"/>
    <col min="15" max="15" width="5.6640625" style="1" customWidth="1"/>
    <col min="16" max="16384" width="6.83203125" style="1"/>
  </cols>
  <sheetData>
    <row r="1" spans="1:15" ht="22" customHeight="1" x14ac:dyDescent="0.15">
      <c r="A1" s="51"/>
      <c r="B1" s="52" t="s">
        <v>13</v>
      </c>
      <c r="C1" s="51">
        <f>'M Q'!B7</f>
        <v>0</v>
      </c>
      <c r="D1" s="51"/>
      <c r="E1" s="51"/>
      <c r="F1" s="51">
        <f>'M Q'!AH7</f>
        <v>0</v>
      </c>
      <c r="G1" s="51"/>
      <c r="H1" s="12"/>
      <c r="I1" s="56"/>
      <c r="J1" s="52" t="str">
        <f>IF(INFO!B8&gt;7,"CLUB N°8","")</f>
        <v/>
      </c>
      <c r="K1" s="51" t="e">
        <f>'M Q'!B14</f>
        <v>#N/A</v>
      </c>
      <c r="L1" s="51"/>
      <c r="M1" s="51"/>
      <c r="N1" s="51" t="e">
        <f>'M Q'!AH14</f>
        <v>#N/A</v>
      </c>
      <c r="O1" s="52"/>
    </row>
    <row r="2" spans="1:15" ht="22" customHeight="1" x14ac:dyDescent="0.15">
      <c r="A2" s="52"/>
      <c r="B2" s="52" t="s">
        <v>14</v>
      </c>
      <c r="C2" s="53" t="s">
        <v>15</v>
      </c>
      <c r="D2" s="53" t="s">
        <v>31</v>
      </c>
      <c r="E2" s="53" t="s">
        <v>33</v>
      </c>
      <c r="F2" s="52" t="s">
        <v>34</v>
      </c>
      <c r="G2" s="52"/>
      <c r="H2" s="12"/>
      <c r="I2" s="52"/>
      <c r="J2" s="52" t="s">
        <v>14</v>
      </c>
      <c r="K2" s="53" t="s">
        <v>15</v>
      </c>
      <c r="L2" s="53" t="s">
        <v>31</v>
      </c>
      <c r="M2" s="53" t="s">
        <v>33</v>
      </c>
      <c r="N2" s="52" t="s">
        <v>34</v>
      </c>
      <c r="O2" s="52"/>
    </row>
    <row r="3" spans="1:15" ht="22" customHeight="1" x14ac:dyDescent="0.15">
      <c r="A3" s="54">
        <f>F3+0.0001*G3+0.0000001*E3+0.0000000001*D3</f>
        <v>0</v>
      </c>
      <c r="B3" s="52">
        <f>'M Q'!D7</f>
        <v>0</v>
      </c>
      <c r="C3" s="51">
        <f>'M Q'!E7</f>
        <v>0</v>
      </c>
      <c r="D3" s="51">
        <f>'M Q'!F7</f>
        <v>0</v>
      </c>
      <c r="E3" s="51">
        <f>'M Q'!G7</f>
        <v>0</v>
      </c>
      <c r="F3" s="51">
        <f>'M Q'!H7</f>
        <v>0</v>
      </c>
      <c r="G3" s="51">
        <f>'M Q'!I7</f>
        <v>0</v>
      </c>
      <c r="H3" s="12"/>
      <c r="I3" s="54" t="e">
        <f>N3+0.0001*O3+0.0000001*M3+0.0000000001*L3</f>
        <v>#N/A</v>
      </c>
      <c r="J3" s="52" t="e">
        <f>'M Q'!D14</f>
        <v>#N/A</v>
      </c>
      <c r="K3" s="52" t="e">
        <f>'M Q'!E14</f>
        <v>#N/A</v>
      </c>
      <c r="L3" s="52" t="e">
        <f>'M Q'!F14</f>
        <v>#N/A</v>
      </c>
      <c r="M3" s="52" t="e">
        <f>'M Q'!G14</f>
        <v>#N/A</v>
      </c>
      <c r="N3" s="52" t="e">
        <f>'M Q'!H14</f>
        <v>#N/A</v>
      </c>
      <c r="O3" s="52" t="e">
        <f>'M Q'!I14</f>
        <v>#N/A</v>
      </c>
    </row>
    <row r="4" spans="1:15" ht="22" customHeight="1" x14ac:dyDescent="0.15">
      <c r="A4" s="54">
        <f>F4+0.0001*G4+0.0000001*E4+0.0000000001*D4</f>
        <v>0</v>
      </c>
      <c r="B4" s="52">
        <f>'M Q'!J7</f>
        <v>0</v>
      </c>
      <c r="C4" s="51">
        <f>'M Q'!K7</f>
        <v>0</v>
      </c>
      <c r="D4" s="51">
        <f>'M Q'!L7</f>
        <v>0</v>
      </c>
      <c r="E4" s="51">
        <f>'M Q'!M7</f>
        <v>0</v>
      </c>
      <c r="F4" s="51">
        <f>'M Q'!N7</f>
        <v>0</v>
      </c>
      <c r="G4" s="51">
        <f>'M Q'!O7</f>
        <v>0</v>
      </c>
      <c r="H4" s="12"/>
      <c r="I4" s="54" t="e">
        <f>N4+0.0001*O4+0.0000001*M4+0.0000000001*L4</f>
        <v>#N/A</v>
      </c>
      <c r="J4" s="52" t="e">
        <f>'M Q'!J14</f>
        <v>#N/A</v>
      </c>
      <c r="K4" s="52" t="e">
        <f>'M Q'!K14</f>
        <v>#N/A</v>
      </c>
      <c r="L4" s="52" t="e">
        <f>'M Q'!L14</f>
        <v>#N/A</v>
      </c>
      <c r="M4" s="52" t="e">
        <f>'M Q'!M14</f>
        <v>#N/A</v>
      </c>
      <c r="N4" s="52" t="e">
        <f>'M Q'!N14</f>
        <v>#N/A</v>
      </c>
      <c r="O4" s="52" t="e">
        <f>'M Q'!O14</f>
        <v>#N/A</v>
      </c>
    </row>
    <row r="5" spans="1:15" ht="22" customHeight="1" x14ac:dyDescent="0.15">
      <c r="A5" s="54">
        <f>F5+0.0001*G5+0.0000001*E5+0.0000000001*D5</f>
        <v>0</v>
      </c>
      <c r="B5" s="52">
        <f>'M Q'!P7</f>
        <v>0</v>
      </c>
      <c r="C5" s="51">
        <f>'M Q'!Q7</f>
        <v>0</v>
      </c>
      <c r="D5" s="51">
        <f>'M Q'!R7</f>
        <v>0</v>
      </c>
      <c r="E5" s="51">
        <f>'M Q'!S7</f>
        <v>0</v>
      </c>
      <c r="F5" s="51">
        <f>'M Q'!T7</f>
        <v>0</v>
      </c>
      <c r="G5" s="51">
        <f>'M Q'!U7</f>
        <v>0</v>
      </c>
      <c r="H5" s="12"/>
      <c r="I5" s="54" t="e">
        <f>N5+0.0001*O5+0.0000001*M5+0.0000000001*L5</f>
        <v>#N/A</v>
      </c>
      <c r="J5" s="52" t="e">
        <f>'M Q'!P14</f>
        <v>#N/A</v>
      </c>
      <c r="K5" s="52" t="e">
        <f>'M Q'!Q14</f>
        <v>#N/A</v>
      </c>
      <c r="L5" s="52" t="e">
        <f>'M Q'!R14</f>
        <v>#N/A</v>
      </c>
      <c r="M5" s="52" t="e">
        <f>'M Q'!S14</f>
        <v>#N/A</v>
      </c>
      <c r="N5" s="52" t="e">
        <f>'M Q'!T14</f>
        <v>#N/A</v>
      </c>
      <c r="O5" s="52" t="e">
        <f>'M Q'!U14</f>
        <v>#N/A</v>
      </c>
    </row>
    <row r="6" spans="1:15" ht="22" customHeight="1" x14ac:dyDescent="0.15">
      <c r="A6" s="54">
        <f>F6+0.0001*G6+0.0000001*E6+0.0000000001*D6</f>
        <v>0</v>
      </c>
      <c r="B6" s="52">
        <f>'M Q'!V7</f>
        <v>0</v>
      </c>
      <c r="C6" s="51">
        <f>'M Q'!W7</f>
        <v>0</v>
      </c>
      <c r="D6" s="51">
        <f>'M Q'!X7</f>
        <v>0</v>
      </c>
      <c r="E6" s="51">
        <f>'M Q'!Y7</f>
        <v>0</v>
      </c>
      <c r="F6" s="51">
        <f>'M Q'!Z7</f>
        <v>0</v>
      </c>
      <c r="G6" s="51">
        <f>'M Q'!AA7</f>
        <v>0</v>
      </c>
      <c r="H6" s="12"/>
      <c r="I6" s="54" t="e">
        <f>N6+0.0001*O6+0.0000001*M6+0.0000000001*L6</f>
        <v>#N/A</v>
      </c>
      <c r="J6" s="52" t="e">
        <f>'M Q'!V14</f>
        <v>#N/A</v>
      </c>
      <c r="K6" s="52" t="e">
        <f>'M Q'!W14</f>
        <v>#N/A</v>
      </c>
      <c r="L6" s="52" t="e">
        <f>'M Q'!X14</f>
        <v>#N/A</v>
      </c>
      <c r="M6" s="52" t="e">
        <f>'M Q'!Y14</f>
        <v>#N/A</v>
      </c>
      <c r="N6" s="52" t="e">
        <f>'M Q'!Z14</f>
        <v>#N/A</v>
      </c>
      <c r="O6" s="52" t="e">
        <f>'M Q'!AA14</f>
        <v>#N/A</v>
      </c>
    </row>
    <row r="7" spans="1:15" ht="22" customHeight="1" x14ac:dyDescent="0.15">
      <c r="A7" s="54">
        <f>F7+0.0001*G7+0.0000001*E7+0.0000000001*D7</f>
        <v>0</v>
      </c>
      <c r="B7" s="52">
        <f>'M Q'!AB7</f>
        <v>0</v>
      </c>
      <c r="C7" s="51">
        <f>'M Q'!AC7</f>
        <v>0</v>
      </c>
      <c r="D7" s="51">
        <f>'M Q'!AD7</f>
        <v>0</v>
      </c>
      <c r="E7" s="51">
        <f>'M Q'!AE7</f>
        <v>0</v>
      </c>
      <c r="F7" s="51">
        <f>'M Q'!AF7</f>
        <v>0</v>
      </c>
      <c r="G7" s="51">
        <f>'M Q'!AG7</f>
        <v>0</v>
      </c>
      <c r="H7" s="12"/>
      <c r="I7" s="54" t="e">
        <f>N7+0.0001*O7+0.0000001*M7+0.0000000001*L7</f>
        <v>#N/A</v>
      </c>
      <c r="J7" s="52" t="e">
        <f>'M Q'!AB14</f>
        <v>#N/A</v>
      </c>
      <c r="K7" s="52" t="e">
        <f>'M Q'!AC14</f>
        <v>#N/A</v>
      </c>
      <c r="L7" s="52" t="e">
        <f>'M Q'!AD14</f>
        <v>#N/A</v>
      </c>
      <c r="M7" s="52" t="e">
        <f>'M Q'!AE14</f>
        <v>#N/A</v>
      </c>
      <c r="N7" s="52" t="e">
        <f>'M Q'!AF14</f>
        <v>#N/A</v>
      </c>
      <c r="O7" s="52" t="e">
        <f>'M Q'!AG14</f>
        <v>#N/A</v>
      </c>
    </row>
    <row r="8" spans="1:15" ht="22" customHeight="1" x14ac:dyDescent="0.15">
      <c r="A8" s="50"/>
      <c r="B8" s="12"/>
      <c r="C8" s="12"/>
      <c r="D8" s="12"/>
      <c r="E8" s="12"/>
      <c r="F8" s="12"/>
      <c r="G8" s="12"/>
      <c r="H8" s="12"/>
      <c r="I8" s="50"/>
      <c r="J8" s="12"/>
      <c r="K8" s="12"/>
      <c r="L8" s="12"/>
      <c r="M8" s="12"/>
      <c r="N8" s="12"/>
      <c r="O8" s="12"/>
    </row>
    <row r="9" spans="1:15" ht="22" customHeight="1" x14ac:dyDescent="0.15">
      <c r="A9" s="51"/>
      <c r="B9" s="52" t="s">
        <v>35</v>
      </c>
      <c r="C9" s="52" t="e">
        <f>'M Q'!B8</f>
        <v>#N/A</v>
      </c>
      <c r="D9" s="52"/>
      <c r="E9" s="52"/>
      <c r="F9" s="51" t="e">
        <f>'M Q'!AH8</f>
        <v>#N/A</v>
      </c>
      <c r="G9" s="51"/>
      <c r="H9" s="12"/>
      <c r="I9" s="51"/>
      <c r="J9" s="52" t="str">
        <f>IF(INFO!B8&gt;6,"CLUB N°7","")</f>
        <v/>
      </c>
      <c r="K9" s="52" t="e">
        <f>'M Q'!B13</f>
        <v>#N/A</v>
      </c>
      <c r="L9" s="52"/>
      <c r="M9" s="52"/>
      <c r="N9" s="51" t="e">
        <f>'M Q'!AH13</f>
        <v>#N/A</v>
      </c>
      <c r="O9" s="52"/>
    </row>
    <row r="10" spans="1:15" ht="22" customHeight="1" x14ac:dyDescent="0.15">
      <c r="A10" s="52"/>
      <c r="B10" s="52" t="s">
        <v>14</v>
      </c>
      <c r="C10" s="53" t="s">
        <v>15</v>
      </c>
      <c r="D10" s="53" t="s">
        <v>31</v>
      </c>
      <c r="E10" s="53" t="s">
        <v>33</v>
      </c>
      <c r="F10" s="52" t="s">
        <v>34</v>
      </c>
      <c r="G10" s="52"/>
      <c r="H10" s="12"/>
      <c r="I10" s="52"/>
      <c r="J10" s="52" t="s">
        <v>14</v>
      </c>
      <c r="K10" s="53" t="s">
        <v>15</v>
      </c>
      <c r="L10" s="53" t="s">
        <v>31</v>
      </c>
      <c r="M10" s="53" t="s">
        <v>33</v>
      </c>
      <c r="N10" s="52" t="s">
        <v>34</v>
      </c>
      <c r="O10" s="52"/>
    </row>
    <row r="11" spans="1:15" ht="22" customHeight="1" x14ac:dyDescent="0.15">
      <c r="A11" s="54" t="e">
        <f>F11+0.0001*G11+0.0000001*E11+0.0000000001*D11</f>
        <v>#N/A</v>
      </c>
      <c r="B11" s="52" t="e">
        <f>'M Q'!D8</f>
        <v>#N/A</v>
      </c>
      <c r="C11" s="51" t="e">
        <f>'M Q'!E8</f>
        <v>#N/A</v>
      </c>
      <c r="D11" s="51" t="e">
        <f>'M Q'!F8</f>
        <v>#N/A</v>
      </c>
      <c r="E11" s="51" t="e">
        <f>'M Q'!G8</f>
        <v>#N/A</v>
      </c>
      <c r="F11" s="51" t="e">
        <f>'M Q'!H8</f>
        <v>#N/A</v>
      </c>
      <c r="G11" s="51" t="e">
        <f>'M Q'!I8</f>
        <v>#N/A</v>
      </c>
      <c r="H11" s="12"/>
      <c r="I11" s="54" t="e">
        <f>N11+0.0001*O11+0.0000001*M11+0.0000000001*L11</f>
        <v>#N/A</v>
      </c>
      <c r="J11" s="52" t="e">
        <f>'M Q'!D13</f>
        <v>#N/A</v>
      </c>
      <c r="K11" s="52" t="e">
        <f>'M Q'!E13</f>
        <v>#N/A</v>
      </c>
      <c r="L11" s="52" t="e">
        <f>'M Q'!F13</f>
        <v>#N/A</v>
      </c>
      <c r="M11" s="52" t="e">
        <f>'M Q'!G13</f>
        <v>#N/A</v>
      </c>
      <c r="N11" s="52" t="e">
        <f>'M Q'!H13</f>
        <v>#N/A</v>
      </c>
      <c r="O11" s="52" t="e">
        <f>'M Q'!I13</f>
        <v>#N/A</v>
      </c>
    </row>
    <row r="12" spans="1:15" ht="22" customHeight="1" x14ac:dyDescent="0.15">
      <c r="A12" s="54" t="e">
        <f>F12+0.0001*G12+0.0000001*E12+0.0000000001*D12</f>
        <v>#N/A</v>
      </c>
      <c r="B12" s="52" t="e">
        <f>'M Q'!J8</f>
        <v>#N/A</v>
      </c>
      <c r="C12" s="51" t="e">
        <f>'M Q'!K8</f>
        <v>#N/A</v>
      </c>
      <c r="D12" s="51" t="e">
        <f>'M Q'!L8</f>
        <v>#N/A</v>
      </c>
      <c r="E12" s="51" t="e">
        <f>'M Q'!M8</f>
        <v>#N/A</v>
      </c>
      <c r="F12" s="51" t="e">
        <f>'M Q'!N8</f>
        <v>#N/A</v>
      </c>
      <c r="G12" s="51" t="e">
        <f>'M Q'!O8</f>
        <v>#N/A</v>
      </c>
      <c r="H12" s="12"/>
      <c r="I12" s="54" t="e">
        <f>N12+0.0001*O12+0.0000001*M12+0.0000000001*L12</f>
        <v>#N/A</v>
      </c>
      <c r="J12" s="52" t="e">
        <f>'M Q'!J13</f>
        <v>#N/A</v>
      </c>
      <c r="K12" s="52" t="e">
        <f>'M Q'!K13</f>
        <v>#N/A</v>
      </c>
      <c r="L12" s="52" t="e">
        <f>'M Q'!L13</f>
        <v>#N/A</v>
      </c>
      <c r="M12" s="52" t="e">
        <f>'M Q'!M13</f>
        <v>#N/A</v>
      </c>
      <c r="N12" s="52" t="e">
        <f>'M Q'!N13</f>
        <v>#N/A</v>
      </c>
      <c r="O12" s="52" t="e">
        <f>'M Q'!O13</f>
        <v>#N/A</v>
      </c>
    </row>
    <row r="13" spans="1:15" ht="22" customHeight="1" x14ac:dyDescent="0.15">
      <c r="A13" s="54" t="e">
        <f>F13+0.0001*G13+0.0000001*E13+0.0000000001*D13</f>
        <v>#N/A</v>
      </c>
      <c r="B13" s="52" t="e">
        <f>'M Q'!P8</f>
        <v>#N/A</v>
      </c>
      <c r="C13" s="51" t="e">
        <f>'M Q'!Q8</f>
        <v>#N/A</v>
      </c>
      <c r="D13" s="51" t="e">
        <f>'M Q'!R8</f>
        <v>#N/A</v>
      </c>
      <c r="E13" s="51" t="e">
        <f>'M Q'!S8</f>
        <v>#N/A</v>
      </c>
      <c r="F13" s="51" t="e">
        <f>'M Q'!T8</f>
        <v>#N/A</v>
      </c>
      <c r="G13" s="51" t="e">
        <f>'M Q'!U8</f>
        <v>#N/A</v>
      </c>
      <c r="H13" s="12"/>
      <c r="I13" s="54" t="e">
        <f>N13+0.0001*O13+0.0000001*M13+0.0000000001*L13</f>
        <v>#N/A</v>
      </c>
      <c r="J13" s="52" t="e">
        <f>'M Q'!P13</f>
        <v>#N/A</v>
      </c>
      <c r="K13" s="52" t="e">
        <f>'M Q'!Q13</f>
        <v>#N/A</v>
      </c>
      <c r="L13" s="52" t="e">
        <f>'M Q'!R13</f>
        <v>#N/A</v>
      </c>
      <c r="M13" s="52" t="e">
        <f>'M Q'!S13</f>
        <v>#N/A</v>
      </c>
      <c r="N13" s="52" t="e">
        <f>'M Q'!T13</f>
        <v>#N/A</v>
      </c>
      <c r="O13" s="52" t="e">
        <f>'M Q'!U13</f>
        <v>#N/A</v>
      </c>
    </row>
    <row r="14" spans="1:15" ht="22" customHeight="1" x14ac:dyDescent="0.15">
      <c r="A14" s="54" t="e">
        <f>F14+0.0001*G14+0.0000001*E14+0.0000000001*D14</f>
        <v>#N/A</v>
      </c>
      <c r="B14" s="52" t="e">
        <f>'M Q'!V8</f>
        <v>#N/A</v>
      </c>
      <c r="C14" s="51" t="e">
        <f>'M Q'!W8</f>
        <v>#N/A</v>
      </c>
      <c r="D14" s="51" t="e">
        <f>'M Q'!X8</f>
        <v>#N/A</v>
      </c>
      <c r="E14" s="51" t="e">
        <f>'M Q'!Y8</f>
        <v>#N/A</v>
      </c>
      <c r="F14" s="51" t="e">
        <f>'M Q'!Z8</f>
        <v>#N/A</v>
      </c>
      <c r="G14" s="51" t="e">
        <f>'M Q'!AA8</f>
        <v>#N/A</v>
      </c>
      <c r="H14" s="12"/>
      <c r="I14" s="54" t="e">
        <f>N14+0.0001*O14+0.0000001*M14+0.0000000001*L14</f>
        <v>#N/A</v>
      </c>
      <c r="J14" s="52" t="e">
        <f>'M Q'!V13</f>
        <v>#N/A</v>
      </c>
      <c r="K14" s="52" t="e">
        <f>'M Q'!W13</f>
        <v>#N/A</v>
      </c>
      <c r="L14" s="52" t="e">
        <f>'M Q'!X13</f>
        <v>#N/A</v>
      </c>
      <c r="M14" s="52" t="e">
        <f>'M Q'!Y13</f>
        <v>#N/A</v>
      </c>
      <c r="N14" s="52" t="e">
        <f>'M Q'!Z13</f>
        <v>#N/A</v>
      </c>
      <c r="O14" s="52" t="e">
        <f>'M Q'!AA13</f>
        <v>#N/A</v>
      </c>
    </row>
    <row r="15" spans="1:15" ht="22" customHeight="1" x14ac:dyDescent="0.15">
      <c r="A15" s="54" t="e">
        <f>F15+0.0001*G15+0.0000001*E15+0.0000000001*D15</f>
        <v>#N/A</v>
      </c>
      <c r="B15" s="52" t="e">
        <f>'M Q'!AB8</f>
        <v>#N/A</v>
      </c>
      <c r="C15" s="51" t="e">
        <f>'M Q'!AC8</f>
        <v>#N/A</v>
      </c>
      <c r="D15" s="51" t="e">
        <f>'M Q'!AD8</f>
        <v>#N/A</v>
      </c>
      <c r="E15" s="51" t="e">
        <f>'M Q'!AE8</f>
        <v>#N/A</v>
      </c>
      <c r="F15" s="51" t="e">
        <f>'M Q'!AF8</f>
        <v>#N/A</v>
      </c>
      <c r="G15" s="51" t="e">
        <f>'M Q'!AG8</f>
        <v>#N/A</v>
      </c>
      <c r="H15" s="12"/>
      <c r="I15" s="54" t="e">
        <f>N15+0.0001*O15+0.0000001*M15+0.0000000001*L15</f>
        <v>#N/A</v>
      </c>
      <c r="J15" s="52" t="e">
        <f>'M Q'!AB13</f>
        <v>#N/A</v>
      </c>
      <c r="K15" s="52" t="e">
        <f>'M Q'!AC13</f>
        <v>#N/A</v>
      </c>
      <c r="L15" s="52" t="e">
        <f>'M Q'!AD13</f>
        <v>#N/A</v>
      </c>
      <c r="M15" s="52" t="e">
        <f>'M Q'!AE13</f>
        <v>#N/A</v>
      </c>
      <c r="N15" s="52" t="e">
        <f>'M Q'!AF13</f>
        <v>#N/A</v>
      </c>
      <c r="O15" s="52" t="e">
        <f>'M Q'!AG13</f>
        <v>#N/A</v>
      </c>
    </row>
    <row r="16" spans="1:15" ht="22" customHeight="1" x14ac:dyDescent="0.15">
      <c r="A16" s="50"/>
      <c r="B16" s="12"/>
      <c r="C16" s="12"/>
      <c r="D16" s="12"/>
      <c r="E16" s="12"/>
      <c r="F16" s="12"/>
      <c r="G16" s="12"/>
      <c r="H16" s="12"/>
      <c r="I16" s="50"/>
      <c r="J16" s="12"/>
      <c r="K16" s="12"/>
      <c r="L16" s="12"/>
      <c r="M16" s="12"/>
      <c r="N16" s="12"/>
      <c r="O16" s="12"/>
    </row>
    <row r="17" spans="1:15" ht="22" customHeight="1" x14ac:dyDescent="0.15">
      <c r="A17" s="51"/>
      <c r="B17" s="52" t="str">
        <f>IF(INFO!B8&gt;2,"CLUB N°3","")</f>
        <v/>
      </c>
      <c r="C17" s="52" t="e">
        <f>'M Q'!B9</f>
        <v>#N/A</v>
      </c>
      <c r="D17" s="52"/>
      <c r="E17" s="52"/>
      <c r="F17" s="51" t="e">
        <f>'M Q'!AH9</f>
        <v>#N/A</v>
      </c>
      <c r="G17" s="51"/>
      <c r="H17" s="12"/>
      <c r="I17" s="51"/>
      <c r="J17" s="52" t="str">
        <f>IF(INFO!B8&gt;5,"CLUB N°6","")</f>
        <v/>
      </c>
      <c r="K17" s="52" t="e">
        <f>'M Q'!B12</f>
        <v>#N/A</v>
      </c>
      <c r="L17" s="52"/>
      <c r="M17" s="52"/>
      <c r="N17" s="51" t="e">
        <f>'M Q'!AH12</f>
        <v>#N/A</v>
      </c>
      <c r="O17" s="52"/>
    </row>
    <row r="18" spans="1:15" ht="22" customHeight="1" x14ac:dyDescent="0.15">
      <c r="A18" s="52"/>
      <c r="B18" s="52" t="s">
        <v>14</v>
      </c>
      <c r="C18" s="53" t="s">
        <v>15</v>
      </c>
      <c r="D18" s="53" t="s">
        <v>31</v>
      </c>
      <c r="E18" s="53" t="s">
        <v>33</v>
      </c>
      <c r="F18" s="52" t="s">
        <v>34</v>
      </c>
      <c r="G18" s="52"/>
      <c r="H18" s="12"/>
      <c r="I18" s="52"/>
      <c r="J18" s="52" t="s">
        <v>14</v>
      </c>
      <c r="K18" s="53" t="s">
        <v>15</v>
      </c>
      <c r="L18" s="53" t="s">
        <v>31</v>
      </c>
      <c r="M18" s="53" t="s">
        <v>33</v>
      </c>
      <c r="N18" s="52" t="s">
        <v>34</v>
      </c>
      <c r="O18" s="52"/>
    </row>
    <row r="19" spans="1:15" ht="22" customHeight="1" x14ac:dyDescent="0.15">
      <c r="A19" s="55" t="e">
        <f>F19+0.0001*G19+0.0000001*E19+0.0000000001*D19</f>
        <v>#N/A</v>
      </c>
      <c r="B19" s="52" t="e">
        <f>'M Q'!D9</f>
        <v>#N/A</v>
      </c>
      <c r="C19" s="51" t="e">
        <f>'M Q'!E9</f>
        <v>#N/A</v>
      </c>
      <c r="D19" s="51" t="e">
        <f>'M Q'!F9</f>
        <v>#N/A</v>
      </c>
      <c r="E19" s="51" t="e">
        <f>'M Q'!G9</f>
        <v>#N/A</v>
      </c>
      <c r="F19" s="51" t="e">
        <f>'M Q'!H9</f>
        <v>#N/A</v>
      </c>
      <c r="G19" s="51" t="e">
        <f>'M Q'!I9</f>
        <v>#N/A</v>
      </c>
      <c r="H19" s="12"/>
      <c r="I19" s="54" t="e">
        <f>N19+0.0001*O19+0.0000001*M19+0.0000000001*L19</f>
        <v>#N/A</v>
      </c>
      <c r="J19" s="52" t="e">
        <f>'M Q'!D12</f>
        <v>#N/A</v>
      </c>
      <c r="K19" s="52" t="e">
        <f>'M Q'!E12</f>
        <v>#N/A</v>
      </c>
      <c r="L19" s="52" t="e">
        <f>'M Q'!F12</f>
        <v>#N/A</v>
      </c>
      <c r="M19" s="52" t="e">
        <f>'M Q'!G12</f>
        <v>#N/A</v>
      </c>
      <c r="N19" s="52" t="e">
        <f>'M Q'!H12</f>
        <v>#N/A</v>
      </c>
      <c r="O19" s="52" t="e">
        <f>'M Q'!I12</f>
        <v>#N/A</v>
      </c>
    </row>
    <row r="20" spans="1:15" ht="22" customHeight="1" x14ac:dyDescent="0.15">
      <c r="A20" s="55" t="e">
        <f>F20+0.0001*G20+0.0000001*E20+0.0000000001*D20</f>
        <v>#N/A</v>
      </c>
      <c r="B20" s="52" t="e">
        <f>'M Q'!J9</f>
        <v>#N/A</v>
      </c>
      <c r="C20" s="51" t="e">
        <f>'M Q'!K9</f>
        <v>#N/A</v>
      </c>
      <c r="D20" s="51" t="e">
        <f>'M Q'!L9</f>
        <v>#N/A</v>
      </c>
      <c r="E20" s="51" t="e">
        <f>'M Q'!M9</f>
        <v>#N/A</v>
      </c>
      <c r="F20" s="51" t="e">
        <f>'M Q'!N9</f>
        <v>#N/A</v>
      </c>
      <c r="G20" s="51" t="e">
        <f>'M Q'!O9</f>
        <v>#N/A</v>
      </c>
      <c r="H20" s="12"/>
      <c r="I20" s="54" t="e">
        <f>N20+0.0001*O20+0.0000001*M20+0.0000000001*L20</f>
        <v>#N/A</v>
      </c>
      <c r="J20" s="52" t="e">
        <f>'M Q'!J12</f>
        <v>#N/A</v>
      </c>
      <c r="K20" s="52" t="e">
        <f>'M Q'!K12</f>
        <v>#N/A</v>
      </c>
      <c r="L20" s="52" t="e">
        <f>'M Q'!L12</f>
        <v>#N/A</v>
      </c>
      <c r="M20" s="52" t="e">
        <f>'M Q'!M12</f>
        <v>#N/A</v>
      </c>
      <c r="N20" s="52" t="e">
        <f>'M Q'!N12</f>
        <v>#N/A</v>
      </c>
      <c r="O20" s="52" t="e">
        <f>'M Q'!O12</f>
        <v>#N/A</v>
      </c>
    </row>
    <row r="21" spans="1:15" ht="22" customHeight="1" x14ac:dyDescent="0.15">
      <c r="A21" s="55" t="e">
        <f>F21+0.0001*G21+0.0000001*E21+0.0000000001*D21</f>
        <v>#N/A</v>
      </c>
      <c r="B21" s="52" t="e">
        <f>'M Q'!P9</f>
        <v>#N/A</v>
      </c>
      <c r="C21" s="51" t="e">
        <f>'M Q'!Q9</f>
        <v>#N/A</v>
      </c>
      <c r="D21" s="51" t="e">
        <f>'M Q'!R9</f>
        <v>#N/A</v>
      </c>
      <c r="E21" s="51" t="e">
        <f>'M Q'!S9</f>
        <v>#N/A</v>
      </c>
      <c r="F21" s="51" t="e">
        <f>'M Q'!T9</f>
        <v>#N/A</v>
      </c>
      <c r="G21" s="51" t="e">
        <f>'M Q'!U9</f>
        <v>#N/A</v>
      </c>
      <c r="H21" s="12"/>
      <c r="I21" s="54" t="e">
        <f>N21+0.0001*O21+0.0000001*M21+0.0000000001*L21</f>
        <v>#N/A</v>
      </c>
      <c r="J21" s="52" t="e">
        <f>'M Q'!P12</f>
        <v>#N/A</v>
      </c>
      <c r="K21" s="52" t="e">
        <f>'M Q'!Q12</f>
        <v>#N/A</v>
      </c>
      <c r="L21" s="52" t="e">
        <f>'M Q'!R12</f>
        <v>#N/A</v>
      </c>
      <c r="M21" s="52" t="e">
        <f>'M Q'!S12</f>
        <v>#N/A</v>
      </c>
      <c r="N21" s="52" t="e">
        <f>'M Q'!T12</f>
        <v>#N/A</v>
      </c>
      <c r="O21" s="52" t="e">
        <f>'M Q'!U12</f>
        <v>#N/A</v>
      </c>
    </row>
    <row r="22" spans="1:15" ht="22" customHeight="1" x14ac:dyDescent="0.15">
      <c r="A22" s="55" t="e">
        <f>F22+0.0001*G22+0.0000001*E22+0.0000000001*D22</f>
        <v>#N/A</v>
      </c>
      <c r="B22" s="52" t="e">
        <f>'M Q'!V9</f>
        <v>#N/A</v>
      </c>
      <c r="C22" s="51" t="e">
        <f>'M Q'!W9</f>
        <v>#N/A</v>
      </c>
      <c r="D22" s="51" t="e">
        <f>'M Q'!X9</f>
        <v>#N/A</v>
      </c>
      <c r="E22" s="51" t="e">
        <f>'M Q'!Y9</f>
        <v>#N/A</v>
      </c>
      <c r="F22" s="51" t="e">
        <f>'M Q'!Z9</f>
        <v>#N/A</v>
      </c>
      <c r="G22" s="51" t="e">
        <f>'M Q'!AA9</f>
        <v>#N/A</v>
      </c>
      <c r="H22" s="12"/>
      <c r="I22" s="54" t="e">
        <f>N22+0.0001*O22+0.0000001*M22+0.0000000001*L22</f>
        <v>#N/A</v>
      </c>
      <c r="J22" s="52" t="e">
        <f>'M Q'!V12</f>
        <v>#N/A</v>
      </c>
      <c r="K22" s="52" t="e">
        <f>'M Q'!W12</f>
        <v>#N/A</v>
      </c>
      <c r="L22" s="52" t="e">
        <f>'M Q'!X12</f>
        <v>#N/A</v>
      </c>
      <c r="M22" s="52" t="e">
        <f>'M Q'!Y12</f>
        <v>#N/A</v>
      </c>
      <c r="N22" s="52" t="e">
        <f>'M Q'!Z12</f>
        <v>#N/A</v>
      </c>
      <c r="O22" s="52" t="e">
        <f>'M Q'!AA12</f>
        <v>#N/A</v>
      </c>
    </row>
    <row r="23" spans="1:15" ht="22" customHeight="1" x14ac:dyDescent="0.15">
      <c r="A23" s="55" t="e">
        <f>F23+0.0001*G23+0.0000001*E23+0.0000000001*D23</f>
        <v>#N/A</v>
      </c>
      <c r="B23" s="52" t="e">
        <f>'M Q'!AB9</f>
        <v>#N/A</v>
      </c>
      <c r="C23" s="51" t="e">
        <f>'M Q'!AC9</f>
        <v>#N/A</v>
      </c>
      <c r="D23" s="51" t="e">
        <f>'M Q'!AD9</f>
        <v>#N/A</v>
      </c>
      <c r="E23" s="51" t="e">
        <f>'M Q'!AE9</f>
        <v>#N/A</v>
      </c>
      <c r="F23" s="51" t="e">
        <f>'M Q'!AF9</f>
        <v>#N/A</v>
      </c>
      <c r="G23" s="51" t="e">
        <f>'M Q'!AG9</f>
        <v>#N/A</v>
      </c>
      <c r="H23" s="12"/>
      <c r="I23" s="54" t="e">
        <f>N23+0.0001*O23+0.0000001*M23+0.0000000001*L23</f>
        <v>#N/A</v>
      </c>
      <c r="J23" s="52" t="e">
        <f>'M Q'!AB12</f>
        <v>#N/A</v>
      </c>
      <c r="K23" s="52" t="e">
        <f>'M Q'!AC12</f>
        <v>#N/A</v>
      </c>
      <c r="L23" s="52" t="e">
        <f>'M Q'!AD12</f>
        <v>#N/A</v>
      </c>
      <c r="M23" s="52" t="e">
        <f>'M Q'!AE12</f>
        <v>#N/A</v>
      </c>
      <c r="N23" s="52" t="e">
        <f>'M Q'!AF12</f>
        <v>#N/A</v>
      </c>
      <c r="O23" s="52" t="e">
        <f>'M Q'!AG12</f>
        <v>#N/A</v>
      </c>
    </row>
    <row r="24" spans="1:15" ht="22" customHeight="1" x14ac:dyDescent="0.15">
      <c r="A24" s="50"/>
      <c r="B24" s="12"/>
      <c r="C24" s="12"/>
      <c r="D24" s="12"/>
      <c r="E24" s="12"/>
      <c r="F24" s="12"/>
      <c r="G24" s="12"/>
      <c r="H24" s="12"/>
      <c r="I24" s="50"/>
      <c r="J24" s="12"/>
      <c r="K24" s="12"/>
      <c r="L24" s="12"/>
      <c r="M24" s="12"/>
      <c r="N24" s="12"/>
      <c r="O24" s="12"/>
    </row>
    <row r="25" spans="1:15" ht="22" customHeight="1" x14ac:dyDescent="0.15">
      <c r="A25" s="51"/>
      <c r="B25" s="52" t="str">
        <f>IF(INFO!B8&gt;3,"CLUB N°4","")</f>
        <v/>
      </c>
      <c r="C25" s="52" t="e">
        <f>'M Q'!B10</f>
        <v>#N/A</v>
      </c>
      <c r="D25" s="52"/>
      <c r="E25" s="52"/>
      <c r="F25" s="51" t="e">
        <f>'M Q'!AH10</f>
        <v>#N/A</v>
      </c>
      <c r="G25" s="51"/>
      <c r="H25" s="12"/>
      <c r="I25" s="51"/>
      <c r="J25" s="52" t="str">
        <f>IF(INFO!B8&gt;4,"CLUB N°5","")</f>
        <v/>
      </c>
      <c r="K25" s="52" t="e">
        <f>'M Q'!B11</f>
        <v>#N/A</v>
      </c>
      <c r="L25" s="52"/>
      <c r="M25" s="52"/>
      <c r="N25" s="51" t="e">
        <f>'M Q'!AH11</f>
        <v>#N/A</v>
      </c>
      <c r="O25" s="52"/>
    </row>
    <row r="26" spans="1:15" ht="22" customHeight="1" x14ac:dyDescent="0.15">
      <c r="A26" s="52"/>
      <c r="B26" s="52" t="s">
        <v>14</v>
      </c>
      <c r="C26" s="53" t="s">
        <v>15</v>
      </c>
      <c r="D26" s="53" t="s">
        <v>31</v>
      </c>
      <c r="E26" s="53" t="s">
        <v>33</v>
      </c>
      <c r="F26" s="52" t="s">
        <v>34</v>
      </c>
      <c r="G26" s="52"/>
      <c r="H26" s="12"/>
      <c r="I26" s="52"/>
      <c r="J26" s="52" t="s">
        <v>14</v>
      </c>
      <c r="K26" s="53" t="s">
        <v>15</v>
      </c>
      <c r="L26" s="53" t="s">
        <v>31</v>
      </c>
      <c r="M26" s="53" t="s">
        <v>33</v>
      </c>
      <c r="N26" s="52" t="s">
        <v>34</v>
      </c>
      <c r="O26" s="52"/>
    </row>
    <row r="27" spans="1:15" ht="22" customHeight="1" x14ac:dyDescent="0.15">
      <c r="A27" s="54" t="e">
        <f>F27+0.0001*G27+0.0000001*E27+0.0000000001*D27</f>
        <v>#N/A</v>
      </c>
      <c r="B27" s="52" t="e">
        <f>'M Q'!D10</f>
        <v>#N/A</v>
      </c>
      <c r="C27" s="51" t="e">
        <f>'M Q'!E10</f>
        <v>#N/A</v>
      </c>
      <c r="D27" s="51" t="e">
        <f>'M Q'!F10</f>
        <v>#N/A</v>
      </c>
      <c r="E27" s="51" t="e">
        <f>'M Q'!G10</f>
        <v>#N/A</v>
      </c>
      <c r="F27" s="51" t="e">
        <f>'M Q'!H10</f>
        <v>#N/A</v>
      </c>
      <c r="G27" s="51" t="e">
        <f>'M Q'!I10</f>
        <v>#N/A</v>
      </c>
      <c r="H27" s="12"/>
      <c r="I27" s="54" t="e">
        <f>N27+0.0001*O27+0.0000001*M27+0.0000000001*L27</f>
        <v>#N/A</v>
      </c>
      <c r="J27" s="52" t="e">
        <f>'M Q'!D11</f>
        <v>#N/A</v>
      </c>
      <c r="K27" s="52" t="e">
        <f>'M Q'!E11</f>
        <v>#N/A</v>
      </c>
      <c r="L27" s="52" t="e">
        <f>'M Q'!F11</f>
        <v>#N/A</v>
      </c>
      <c r="M27" s="52" t="e">
        <f>'M Q'!G11</f>
        <v>#N/A</v>
      </c>
      <c r="N27" s="52" t="e">
        <f>'M Q'!H11</f>
        <v>#N/A</v>
      </c>
      <c r="O27" s="52" t="e">
        <f>'M Q'!I11</f>
        <v>#N/A</v>
      </c>
    </row>
    <row r="28" spans="1:15" ht="22" customHeight="1" x14ac:dyDescent="0.15">
      <c r="A28" s="54" t="e">
        <f>F28+0.0001*G28+0.0000001*E28+0.0000000001*D28</f>
        <v>#N/A</v>
      </c>
      <c r="B28" s="52" t="e">
        <f>'M Q'!J10</f>
        <v>#N/A</v>
      </c>
      <c r="C28" s="51" t="e">
        <f>'M Q'!K10</f>
        <v>#N/A</v>
      </c>
      <c r="D28" s="51" t="e">
        <f>'M Q'!L10</f>
        <v>#N/A</v>
      </c>
      <c r="E28" s="51" t="e">
        <f>'M Q'!M10</f>
        <v>#N/A</v>
      </c>
      <c r="F28" s="51" t="e">
        <f>'M Q'!N10</f>
        <v>#N/A</v>
      </c>
      <c r="G28" s="51" t="e">
        <f>'M Q'!O10</f>
        <v>#N/A</v>
      </c>
      <c r="H28" s="12"/>
      <c r="I28" s="54" t="e">
        <f>N28+0.0001*O28+0.0000001*M28+0.0000000001*L28</f>
        <v>#N/A</v>
      </c>
      <c r="J28" s="52" t="e">
        <f>'M Q'!J11</f>
        <v>#N/A</v>
      </c>
      <c r="K28" s="52" t="e">
        <f>'M Q'!K11</f>
        <v>#N/A</v>
      </c>
      <c r="L28" s="52" t="e">
        <f>'M Q'!L11</f>
        <v>#N/A</v>
      </c>
      <c r="M28" s="52" t="e">
        <f>'M Q'!M11</f>
        <v>#N/A</v>
      </c>
      <c r="N28" s="52" t="e">
        <f>'M Q'!N11</f>
        <v>#N/A</v>
      </c>
      <c r="O28" s="52" t="e">
        <f>'M Q'!O11</f>
        <v>#N/A</v>
      </c>
    </row>
    <row r="29" spans="1:15" ht="22" customHeight="1" x14ac:dyDescent="0.15">
      <c r="A29" s="54" t="e">
        <f>F29+0.0001*G29+0.0000001*E29+0.0000000001*D29</f>
        <v>#N/A</v>
      </c>
      <c r="B29" s="52" t="e">
        <f>'M Q'!P10</f>
        <v>#N/A</v>
      </c>
      <c r="C29" s="51" t="e">
        <f>'M Q'!Q10</f>
        <v>#N/A</v>
      </c>
      <c r="D29" s="51" t="e">
        <f>'M Q'!R10</f>
        <v>#N/A</v>
      </c>
      <c r="E29" s="51" t="e">
        <f>'M Q'!S10</f>
        <v>#N/A</v>
      </c>
      <c r="F29" s="51" t="e">
        <f>'M Q'!T10</f>
        <v>#N/A</v>
      </c>
      <c r="G29" s="51" t="e">
        <f>'M Q'!U10</f>
        <v>#N/A</v>
      </c>
      <c r="H29" s="12"/>
      <c r="I29" s="54" t="e">
        <f>N29+0.0001*O29+0.0000001*M29+0.0000000001*L29</f>
        <v>#N/A</v>
      </c>
      <c r="J29" s="52" t="e">
        <f>'M Q'!P11</f>
        <v>#N/A</v>
      </c>
      <c r="K29" s="52" t="e">
        <f>'M Q'!Q11</f>
        <v>#N/A</v>
      </c>
      <c r="L29" s="52" t="e">
        <f>'M Q'!R11</f>
        <v>#N/A</v>
      </c>
      <c r="M29" s="52" t="e">
        <f>'M Q'!S11</f>
        <v>#N/A</v>
      </c>
      <c r="N29" s="52" t="e">
        <f>'M Q'!T11</f>
        <v>#N/A</v>
      </c>
      <c r="O29" s="52" t="e">
        <f>'M Q'!U11</f>
        <v>#N/A</v>
      </c>
    </row>
    <row r="30" spans="1:15" ht="22" customHeight="1" x14ac:dyDescent="0.15">
      <c r="A30" s="54" t="e">
        <f>F30+0.0001*G30+0.0000001*E30+0.0000000001*D30</f>
        <v>#N/A</v>
      </c>
      <c r="B30" s="52" t="e">
        <f>'M Q'!V10</f>
        <v>#N/A</v>
      </c>
      <c r="C30" s="51" t="e">
        <f>'M Q'!W10</f>
        <v>#N/A</v>
      </c>
      <c r="D30" s="51" t="e">
        <f>'M Q'!X10</f>
        <v>#N/A</v>
      </c>
      <c r="E30" s="51" t="e">
        <f>'M Q'!Y10</f>
        <v>#N/A</v>
      </c>
      <c r="F30" s="51" t="e">
        <f>'M Q'!Z10</f>
        <v>#N/A</v>
      </c>
      <c r="G30" s="51" t="e">
        <f>'M Q'!AA10</f>
        <v>#N/A</v>
      </c>
      <c r="H30" s="12"/>
      <c r="I30" s="54" t="e">
        <f>N30+0.0001*O30+0.0000001*M30+0.0000000001*L30</f>
        <v>#N/A</v>
      </c>
      <c r="J30" s="52" t="e">
        <f>'M Q'!V11</f>
        <v>#N/A</v>
      </c>
      <c r="K30" s="52" t="e">
        <f>'M Q'!W11</f>
        <v>#N/A</v>
      </c>
      <c r="L30" s="52" t="e">
        <f>'M Q'!X11</f>
        <v>#N/A</v>
      </c>
      <c r="M30" s="52" t="e">
        <f>'M Q'!Y11</f>
        <v>#N/A</v>
      </c>
      <c r="N30" s="52" t="e">
        <f>'M Q'!Z11</f>
        <v>#N/A</v>
      </c>
      <c r="O30" s="52" t="e">
        <f>'M Q'!AA11</f>
        <v>#N/A</v>
      </c>
    </row>
    <row r="31" spans="1:15" ht="22" customHeight="1" x14ac:dyDescent="0.15">
      <c r="A31" s="54" t="e">
        <f>F31+0.0001*G31+0.0000001*E31+0.0000000001*D31</f>
        <v>#N/A</v>
      </c>
      <c r="B31" s="52" t="e">
        <f>'M Q'!AB10</f>
        <v>#N/A</v>
      </c>
      <c r="C31" s="51" t="e">
        <f>'M Q'!AC10</f>
        <v>#N/A</v>
      </c>
      <c r="D31" s="51" t="e">
        <f>'M Q'!AD10</f>
        <v>#N/A</v>
      </c>
      <c r="E31" s="51" t="e">
        <f>'M Q'!AE10</f>
        <v>#N/A</v>
      </c>
      <c r="F31" s="51" t="e">
        <f>'M Q'!AF10</f>
        <v>#N/A</v>
      </c>
      <c r="G31" s="51" t="e">
        <f>'M Q'!AG10</f>
        <v>#N/A</v>
      </c>
      <c r="H31" s="12"/>
      <c r="I31" s="54" t="e">
        <f>N31+0.0001*O31+0.0000001*M31+0.0000000001*L31</f>
        <v>#N/A</v>
      </c>
      <c r="J31" s="52" t="e">
        <f>'M Q'!AB11</f>
        <v>#N/A</v>
      </c>
      <c r="K31" s="52" t="e">
        <f>'M Q'!AC11</f>
        <v>#N/A</v>
      </c>
      <c r="L31" s="52" t="e">
        <f>'M Q'!AD11</f>
        <v>#N/A</v>
      </c>
      <c r="M31" s="52" t="e">
        <f>'M Q'!AE11</f>
        <v>#N/A</v>
      </c>
      <c r="N31" s="52" t="e">
        <f>'M Q'!AF11</f>
        <v>#N/A</v>
      </c>
      <c r="O31" s="52" t="e">
        <f>'M Q'!AG11</f>
        <v>#N/A</v>
      </c>
    </row>
  </sheetData>
  <printOptions horizontalCentered="1" verticalCentered="1"/>
  <pageMargins left="0.19685039370078741" right="0.19685039370078741" top="0.19685039370078741" bottom="0.19685039370078741" header="0" footer="0"/>
  <pageSetup paperSize="9" scale="78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4">
    <pageSetUpPr fitToPage="1"/>
  </sheetPr>
  <dimension ref="A1:N32"/>
  <sheetViews>
    <sheetView showGridLines="0" zoomScale="80" zoomScaleNormal="80" zoomScaleSheetLayoutView="100" zoomScalePageLayoutView="80" workbookViewId="0">
      <selection activeCell="P24" sqref="P24"/>
    </sheetView>
  </sheetViews>
  <sheetFormatPr baseColWidth="10" defaultColWidth="6.83203125" defaultRowHeight="16" x14ac:dyDescent="0.15"/>
  <cols>
    <col min="1" max="1" width="15.33203125" style="1" customWidth="1"/>
    <col min="2" max="2" width="25.6640625" style="1" customWidth="1"/>
    <col min="3" max="5" width="10.83203125" style="1" customWidth="1"/>
    <col min="6" max="6" width="8.5" style="1" customWidth="1"/>
    <col min="7" max="7" width="3.6640625" style="1" customWidth="1"/>
    <col min="8" max="8" width="25.6640625" style="1" customWidth="1"/>
    <col min="9" max="11" width="10.6640625" style="1" customWidth="1"/>
    <col min="12" max="12" width="8.5" style="1" customWidth="1"/>
    <col min="13" max="13" width="5.6640625" style="1" customWidth="1"/>
    <col min="14" max="16384" width="6.83203125" style="1"/>
  </cols>
  <sheetData>
    <row r="1" spans="1:14" ht="50" customHeight="1" thickBot="1" x14ac:dyDescent="0.2">
      <c r="A1" s="172"/>
      <c r="B1" s="252" t="s">
        <v>27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172"/>
      <c r="N1" s="172"/>
    </row>
    <row r="2" spans="1:14" ht="22" customHeight="1" thickBot="1" x14ac:dyDescent="0.2">
      <c r="A2" s="12"/>
      <c r="B2" s="173" t="s">
        <v>13</v>
      </c>
      <c r="C2" s="253">
        <f>'Clb Q (2)'!C1</f>
        <v>0</v>
      </c>
      <c r="D2" s="254"/>
      <c r="E2" s="254"/>
      <c r="F2" s="174">
        <f>'Clb Q (2)'!F1</f>
        <v>0</v>
      </c>
      <c r="G2" s="12"/>
      <c r="H2" s="175" t="str">
        <f>IF(INFO!B8&gt;7,"CLUB N°8","")</f>
        <v/>
      </c>
      <c r="I2" s="253" t="str">
        <f>IF(INFO!B8&gt;7,'Clb Q (2)'!K1,"")</f>
        <v/>
      </c>
      <c r="J2" s="254"/>
      <c r="K2" s="254"/>
      <c r="L2" s="174" t="str">
        <f>IF(INFO!B8&gt;7,'Clb Q (2)'!N1,"")</f>
        <v/>
      </c>
      <c r="M2" s="12"/>
    </row>
    <row r="3" spans="1:14" ht="22" customHeight="1" thickBot="1" x14ac:dyDescent="0.2">
      <c r="A3" s="176"/>
      <c r="B3" s="175" t="s">
        <v>14</v>
      </c>
      <c r="C3" s="177" t="s">
        <v>15</v>
      </c>
      <c r="D3" s="178" t="s">
        <v>31</v>
      </c>
      <c r="E3" s="179" t="s">
        <v>33</v>
      </c>
      <c r="F3" s="175" t="s">
        <v>34</v>
      </c>
      <c r="G3" s="12"/>
      <c r="H3" s="175" t="s">
        <v>14</v>
      </c>
      <c r="I3" s="177" t="s">
        <v>15</v>
      </c>
      <c r="J3" s="178" t="s">
        <v>31</v>
      </c>
      <c r="K3" s="179" t="s">
        <v>33</v>
      </c>
      <c r="L3" s="175" t="s">
        <v>34</v>
      </c>
      <c r="M3" s="12"/>
    </row>
    <row r="4" spans="1:14" ht="22" customHeight="1" x14ac:dyDescent="0.15">
      <c r="A4" s="176"/>
      <c r="B4" s="180">
        <f>VLOOKUP(F4,'Clb Q (2)'!A$3:G$7,2,0)</f>
        <v>0</v>
      </c>
      <c r="C4" s="181">
        <f>VLOOKUP(F4,'Clb Q (2)'!A$3:G$7,3,0)</f>
        <v>0</v>
      </c>
      <c r="D4" s="182">
        <f>VLOOKUP(F4,'Clb Q (2)'!A$3:G$7,4,0)</f>
        <v>0</v>
      </c>
      <c r="E4" s="183">
        <f>VLOOKUP(F4,'Clb Q (2)'!A$3:G$7,5,0)</f>
        <v>0</v>
      </c>
      <c r="F4" s="180">
        <f>LARGE('Clb Q (2)'!A$3:A$7,1)</f>
        <v>0</v>
      </c>
      <c r="G4" s="12"/>
      <c r="H4" s="180" t="str">
        <f>IF(INFO!B$8&gt;7,VLOOKUP(L4,'Clb Q (2)'!I$3:O$7,2,0),"")</f>
        <v/>
      </c>
      <c r="I4" s="181" t="str">
        <f>IF(INFO!B$8&gt;7,VLOOKUP(L4,'Clb Q (2)'!I$3:O$7,3,0),"")</f>
        <v/>
      </c>
      <c r="J4" s="182" t="str">
        <f>IF(INFO!B$8&gt;7,VLOOKUP(L4,'Clb Q (2)'!I$3:O$7,4,0),"")</f>
        <v/>
      </c>
      <c r="K4" s="183" t="str">
        <f>IF(INFO!B$8&gt;7,VLOOKUP(L4,'Clb Q (2)'!I$3:O$7,5,0),"")</f>
        <v/>
      </c>
      <c r="L4" s="180" t="str">
        <f>IF(INFO!B$8&gt;7,LARGE('Clb Q (2)'!I$3:I$7,1),"")</f>
        <v/>
      </c>
      <c r="M4" s="12"/>
    </row>
    <row r="5" spans="1:14" ht="22" customHeight="1" x14ac:dyDescent="0.15">
      <c r="A5" s="176"/>
      <c r="B5" s="180">
        <f>VLOOKUP(F5,'Clb Q (2)'!A$3:G$7,2,0)</f>
        <v>0</v>
      </c>
      <c r="C5" s="181">
        <f>VLOOKUP(F5,'Clb Q (2)'!A$3:G$7,3,0)</f>
        <v>0</v>
      </c>
      <c r="D5" s="182">
        <f>VLOOKUP(F5,'Clb Q (2)'!A$3:G$7,4,0)</f>
        <v>0</v>
      </c>
      <c r="E5" s="183">
        <f>VLOOKUP(F5,'Clb Q (2)'!A$3:G$7,5,0)</f>
        <v>0</v>
      </c>
      <c r="F5" s="180">
        <f>LARGE('Clb Q (2)'!A$3:A$7,2)</f>
        <v>0</v>
      </c>
      <c r="G5" s="12"/>
      <c r="H5" s="180" t="str">
        <f>IF(INFO!B$8&gt;7,VLOOKUP(L5,'Clb Q (2)'!I$3:O$7,2,0),"")</f>
        <v/>
      </c>
      <c r="I5" s="181" t="str">
        <f>IF(INFO!B$8&gt;7,VLOOKUP(L5,'Clb Q (2)'!I$3:O$7,3,0),"")</f>
        <v/>
      </c>
      <c r="J5" s="182" t="str">
        <f>IF(INFO!B$8&gt;7,VLOOKUP(L5,'Clb Q (2)'!I$3:O$7,4,0),"")</f>
        <v/>
      </c>
      <c r="K5" s="183" t="str">
        <f>IF(INFO!B$8&gt;7,VLOOKUP(L5,'Clb Q (2)'!I$3:O$7,5,0),"")</f>
        <v/>
      </c>
      <c r="L5" s="180" t="str">
        <f>IF(INFO!B$8&gt;7,LARGE('Clb Q (2)'!I$3:I$7,2),"")</f>
        <v/>
      </c>
      <c r="M5" s="12"/>
    </row>
    <row r="6" spans="1:14" ht="22" customHeight="1" x14ac:dyDescent="0.15">
      <c r="A6" s="176"/>
      <c r="B6" s="180">
        <f>VLOOKUP(F6,'Clb Q (2)'!A$3:G$7,2,0)</f>
        <v>0</v>
      </c>
      <c r="C6" s="181">
        <f>VLOOKUP(F6,'Clb Q (2)'!A$3:G$7,3,0)</f>
        <v>0</v>
      </c>
      <c r="D6" s="182">
        <f>VLOOKUP(F6,'Clb Q (2)'!A$3:G$7,4,0)</f>
        <v>0</v>
      </c>
      <c r="E6" s="183">
        <f>VLOOKUP(F6,'Clb Q (2)'!A$3:G$7,5,0)</f>
        <v>0</v>
      </c>
      <c r="F6" s="180">
        <f>LARGE('Clb Q (2)'!A$3:A$7,3)</f>
        <v>0</v>
      </c>
      <c r="G6" s="12"/>
      <c r="H6" s="180" t="str">
        <f>IF(INFO!B$8&gt;7,VLOOKUP(L6,'Clb Q (2)'!I$3:O$7,2,0),"")</f>
        <v/>
      </c>
      <c r="I6" s="181" t="str">
        <f>IF(INFO!B$8&gt;7,VLOOKUP(L6,'Clb Q (2)'!I$3:O$7,3,0),"")</f>
        <v/>
      </c>
      <c r="J6" s="182" t="str">
        <f>IF(INFO!B$8&gt;7,VLOOKUP(L6,'Clb Q (2)'!I$3:O$7,4,0),"")</f>
        <v/>
      </c>
      <c r="K6" s="183" t="str">
        <f>IF(INFO!B$8&gt;7,VLOOKUP(L6,'Clb Q (2)'!I$3:O$7,5,0),"")</f>
        <v/>
      </c>
      <c r="L6" s="180" t="str">
        <f>IF(INFO!B$8&gt;7,LARGE('Clb Q (2)'!I$3:I$7,3),"")</f>
        <v/>
      </c>
      <c r="M6" s="12"/>
    </row>
    <row r="7" spans="1:14" ht="22" customHeight="1" x14ac:dyDescent="0.15">
      <c r="A7" s="176"/>
      <c r="B7" s="180">
        <f>VLOOKUP(F7,'Clb Q (2)'!A$3:G$7,2,0)</f>
        <v>0</v>
      </c>
      <c r="C7" s="181">
        <f>VLOOKUP(F7,'Clb Q (2)'!A$3:G$7,3,0)</f>
        <v>0</v>
      </c>
      <c r="D7" s="182">
        <f>VLOOKUP(F7,'Clb Q (2)'!A$3:G$7,4,0)</f>
        <v>0</v>
      </c>
      <c r="E7" s="183">
        <f>VLOOKUP(F7,'Clb Q (2)'!A$3:G$7,5,0)</f>
        <v>0</v>
      </c>
      <c r="F7" s="180">
        <f>LARGE('Clb Q (2)'!A$3:A$7,4)</f>
        <v>0</v>
      </c>
      <c r="G7" s="12"/>
      <c r="H7" s="180" t="str">
        <f>IF(INFO!B$8&gt;7,VLOOKUP(L7,'Clb Q (2)'!I$3:O$7,2,0),"")</f>
        <v/>
      </c>
      <c r="I7" s="181" t="str">
        <f>IF(INFO!B$8&gt;7,VLOOKUP(L7,'Clb Q (2)'!I$3:O$7,3,0),"")</f>
        <v/>
      </c>
      <c r="J7" s="182" t="str">
        <f>IF(INFO!B$8&gt;7,VLOOKUP(L7,'Clb Q (2)'!I$3:O$7,4,0),"")</f>
        <v/>
      </c>
      <c r="K7" s="183" t="str">
        <f>IF(INFO!B$8&gt;7,VLOOKUP(L7,'Clb Q (2)'!I$3:O$7,5,0),"")</f>
        <v/>
      </c>
      <c r="L7" s="180" t="str">
        <f>IF(INFO!B$8&gt;7,LARGE('Clb Q (2)'!I$3:I$7,4),"")</f>
        <v/>
      </c>
      <c r="M7" s="12"/>
    </row>
    <row r="8" spans="1:14" ht="22" customHeight="1" thickBot="1" x14ac:dyDescent="0.2">
      <c r="A8" s="176"/>
      <c r="B8" s="184">
        <f>VLOOKUP(F8,'Clb Q (2)'!A$3:G$7,2,0)</f>
        <v>0</v>
      </c>
      <c r="C8" s="185">
        <f>VLOOKUP(F8,'Clb Q (2)'!A$3:G$7,3,0)</f>
        <v>0</v>
      </c>
      <c r="D8" s="186">
        <f>VLOOKUP(F8,'Clb Q (2)'!A$3:G$7,4,0)</f>
        <v>0</v>
      </c>
      <c r="E8" s="187">
        <f>VLOOKUP(F8,'Clb Q (2)'!A$3:G$7,5,0)</f>
        <v>0</v>
      </c>
      <c r="F8" s="184">
        <f>LARGE('Clb Q (2)'!A$3:A$7,5)</f>
        <v>0</v>
      </c>
      <c r="G8" s="12"/>
      <c r="H8" s="184" t="str">
        <f>IF(INFO!B$8&gt;7,VLOOKUP(L8,'Clb Q (2)'!I$3:O$7,2,0),"")</f>
        <v/>
      </c>
      <c r="I8" s="185" t="str">
        <f>IF(INFO!B$8&gt;7,VLOOKUP(L8,'Clb Q (2)'!I$3:O$7,3,0),"")</f>
        <v/>
      </c>
      <c r="J8" s="186" t="str">
        <f>IF(INFO!B$8&gt;7,VLOOKUP(L8,'Clb Q (2)'!I$3:O$7,4,0),"")</f>
        <v/>
      </c>
      <c r="K8" s="187" t="str">
        <f>IF(INFO!B$8&gt;7,VLOOKUP(L8,'Clb Q (2)'!I$3:O$7,5,0),"")</f>
        <v/>
      </c>
      <c r="L8" s="184" t="str">
        <f>IF(INFO!B$8&gt;7,LARGE('Clb Q (2)'!I$3:I$7,5),"")</f>
        <v/>
      </c>
      <c r="M8" s="12"/>
    </row>
    <row r="9" spans="1:14" ht="22" customHeight="1" thickBot="1" x14ac:dyDescent="0.2">
      <c r="A9" s="12"/>
      <c r="B9" s="188"/>
      <c r="C9" s="12"/>
      <c r="D9" s="12"/>
      <c r="E9" s="12"/>
      <c r="F9" s="188"/>
      <c r="G9" s="12"/>
      <c r="H9" s="188"/>
      <c r="I9" s="12"/>
      <c r="J9" s="12"/>
      <c r="K9" s="12"/>
      <c r="L9" s="188"/>
      <c r="M9" s="12"/>
    </row>
    <row r="10" spans="1:14" ht="22" customHeight="1" thickBot="1" x14ac:dyDescent="0.2">
      <c r="A10" s="12"/>
      <c r="B10" s="175" t="s">
        <v>35</v>
      </c>
      <c r="C10" s="253" t="e">
        <f>'Clb Q (2)'!C9</f>
        <v>#N/A</v>
      </c>
      <c r="D10" s="254"/>
      <c r="E10" s="254"/>
      <c r="F10" s="174" t="e">
        <f>'Clb Q (2)'!F9</f>
        <v>#N/A</v>
      </c>
      <c r="G10" s="12"/>
      <c r="H10" s="175" t="str">
        <f>IF(INFO!B8&gt;6,"CLUB N°7","")</f>
        <v/>
      </c>
      <c r="I10" s="253" t="str">
        <f>IF(INFO!B8&gt;6,'Clb Q (2)'!K9,"")</f>
        <v/>
      </c>
      <c r="J10" s="254"/>
      <c r="K10" s="254"/>
      <c r="L10" s="174" t="str">
        <f>IF(INFO!B8&gt;6,'Clb Q (2)'!N9,"")</f>
        <v/>
      </c>
      <c r="M10" s="12"/>
    </row>
    <row r="11" spans="1:14" ht="22" customHeight="1" thickBot="1" x14ac:dyDescent="0.2">
      <c r="A11" s="176"/>
      <c r="B11" s="175" t="s">
        <v>14</v>
      </c>
      <c r="C11" s="177" t="s">
        <v>15</v>
      </c>
      <c r="D11" s="178" t="s">
        <v>31</v>
      </c>
      <c r="E11" s="179" t="s">
        <v>33</v>
      </c>
      <c r="F11" s="175" t="s">
        <v>34</v>
      </c>
      <c r="G11" s="12"/>
      <c r="H11" s="175" t="s">
        <v>14</v>
      </c>
      <c r="I11" s="177" t="s">
        <v>15</v>
      </c>
      <c r="J11" s="178" t="s">
        <v>31</v>
      </c>
      <c r="K11" s="179" t="s">
        <v>33</v>
      </c>
      <c r="L11" s="175" t="s">
        <v>34</v>
      </c>
      <c r="M11" s="12"/>
    </row>
    <row r="12" spans="1:14" ht="22" customHeight="1" x14ac:dyDescent="0.15">
      <c r="A12" s="176"/>
      <c r="B12" s="189" t="e">
        <f>VLOOKUP(F12,'Clb Q (2)'!A$11:G$15,2,0)</f>
        <v>#N/A</v>
      </c>
      <c r="C12" s="181" t="e">
        <f>VLOOKUP(F12,'Clb Q (2)'!A$11:G$15,3,0)</f>
        <v>#N/A</v>
      </c>
      <c r="D12" s="182" t="e">
        <f>VLOOKUP(F12,'Clb Q (2)'!A$11:G$15,4,0)</f>
        <v>#N/A</v>
      </c>
      <c r="E12" s="183" t="e">
        <f>VLOOKUP(F12,'Clb Q (2)'!A$11:G$15,5,0)</f>
        <v>#N/A</v>
      </c>
      <c r="F12" s="180" t="e">
        <f>LARGE('Clb Q (2)'!A$11:A$15,1)</f>
        <v>#N/A</v>
      </c>
      <c r="G12" s="12"/>
      <c r="H12" s="180" t="str">
        <f>IF(INFO!B$8&gt;6,VLOOKUP(L12,'Clb Q (2)'!I$11:O$15,2,0),"")</f>
        <v/>
      </c>
      <c r="I12" s="181" t="str">
        <f>IF(INFO!B$8&gt;6,VLOOKUP(L12,'Clb Q (2)'!I$11:O$15,3,0),"")</f>
        <v/>
      </c>
      <c r="J12" s="182" t="str">
        <f>IF(INFO!B$8&gt;6,VLOOKUP(L12,'Clb Q (2)'!I$11:O$15,4,0),"")</f>
        <v/>
      </c>
      <c r="K12" s="183" t="str">
        <f>IF(INFO!B$8&gt;6,VLOOKUP(L12,'Clb Q (2)'!I$11:O$15,5,0),"")</f>
        <v/>
      </c>
      <c r="L12" s="180" t="str">
        <f>IF(INFO!B$8&gt;6,LARGE('Clb Q (2)'!I$11:I$15,1),"")</f>
        <v/>
      </c>
      <c r="M12" s="12"/>
    </row>
    <row r="13" spans="1:14" ht="22" customHeight="1" x14ac:dyDescent="0.15">
      <c r="A13" s="176"/>
      <c r="B13" s="180" t="e">
        <f>VLOOKUP(F13,'Clb Q (2)'!A$11:G$15,2,0)</f>
        <v>#N/A</v>
      </c>
      <c r="C13" s="181" t="e">
        <f>VLOOKUP(F13,'Clb Q (2)'!A$11:G$15,3,0)</f>
        <v>#N/A</v>
      </c>
      <c r="D13" s="182" t="e">
        <f>VLOOKUP(F13,'Clb Q (2)'!A$11:G$15,4,0)</f>
        <v>#N/A</v>
      </c>
      <c r="E13" s="183" t="e">
        <f>VLOOKUP(F13,'Clb Q (2)'!A$11:G$15,5,0)</f>
        <v>#N/A</v>
      </c>
      <c r="F13" s="180" t="e">
        <f>LARGE('Clb Q (2)'!A$11:A$15,2)</f>
        <v>#N/A</v>
      </c>
      <c r="G13" s="12"/>
      <c r="H13" s="180" t="str">
        <f>IF(INFO!B$8&gt;6,VLOOKUP(L13,'Clb Q (2)'!I$11:O$15,2,0),"")</f>
        <v/>
      </c>
      <c r="I13" s="181" t="str">
        <f>IF(INFO!B$8&gt;6,VLOOKUP(L13,'Clb Q (2)'!I$11:O$15,3,0),"")</f>
        <v/>
      </c>
      <c r="J13" s="182" t="str">
        <f>IF(INFO!B$8&gt;6,VLOOKUP(L13,'Clb Q (2)'!I$11:O$15,4,0),"")</f>
        <v/>
      </c>
      <c r="K13" s="183" t="str">
        <f>IF(INFO!B$8&gt;6,VLOOKUP(L13,'Clb Q (2)'!I$11:O$15,5,0),"")</f>
        <v/>
      </c>
      <c r="L13" s="180" t="str">
        <f>IF(INFO!B$8&gt;6,LARGE('Clb Q (2)'!I$11:I$15,2),"")</f>
        <v/>
      </c>
      <c r="M13" s="12"/>
    </row>
    <row r="14" spans="1:14" ht="22" customHeight="1" x14ac:dyDescent="0.15">
      <c r="A14" s="176"/>
      <c r="B14" s="180" t="e">
        <f>VLOOKUP(F14,'Clb Q (2)'!A$11:G$15,2,0)</f>
        <v>#N/A</v>
      </c>
      <c r="C14" s="181" t="e">
        <f>VLOOKUP(F14,'Clb Q (2)'!A$11:G$15,3,0)</f>
        <v>#N/A</v>
      </c>
      <c r="D14" s="182" t="e">
        <f>VLOOKUP(F14,'Clb Q (2)'!A$11:G$15,4,0)</f>
        <v>#N/A</v>
      </c>
      <c r="E14" s="183" t="e">
        <f>VLOOKUP(F14,'Clb Q (2)'!A$11:G$15,5,0)</f>
        <v>#N/A</v>
      </c>
      <c r="F14" s="180" t="e">
        <f>LARGE('Clb Q (2)'!A$11:A$15,3)</f>
        <v>#N/A</v>
      </c>
      <c r="G14" s="12"/>
      <c r="H14" s="180" t="str">
        <f>IF(INFO!B$8&gt;6,VLOOKUP(L14,'Clb Q (2)'!I$11:O$15,2,0),"")</f>
        <v/>
      </c>
      <c r="I14" s="181" t="str">
        <f>IF(INFO!B$8&gt;6,VLOOKUP(L14,'Clb Q (2)'!I$11:O$15,3,0),"")</f>
        <v/>
      </c>
      <c r="J14" s="182" t="str">
        <f>IF(INFO!B$8&gt;6,VLOOKUP(L14,'Clb Q (2)'!I$11:O$15,4,0),"")</f>
        <v/>
      </c>
      <c r="K14" s="183" t="str">
        <f>IF(INFO!B$8&gt;6,VLOOKUP(L14,'Clb Q (2)'!I$11:O$15,5,0),"")</f>
        <v/>
      </c>
      <c r="L14" s="180" t="str">
        <f>IF(INFO!B$8&gt;6,LARGE('Clb Q (2)'!I$11:I$15,3),"")</f>
        <v/>
      </c>
      <c r="M14" s="12"/>
    </row>
    <row r="15" spans="1:14" ht="22" customHeight="1" x14ac:dyDescent="0.15">
      <c r="A15" s="176"/>
      <c r="B15" s="180" t="e">
        <f>VLOOKUP(F15,'Clb Q (2)'!A$11:G$15,2,0)</f>
        <v>#N/A</v>
      </c>
      <c r="C15" s="181" t="e">
        <f>VLOOKUP(F15,'Clb Q (2)'!A$11:G$15,3,0)</f>
        <v>#N/A</v>
      </c>
      <c r="D15" s="182" t="e">
        <f>VLOOKUP(F15,'Clb Q (2)'!A$11:G$15,4,0)</f>
        <v>#N/A</v>
      </c>
      <c r="E15" s="183" t="e">
        <f>VLOOKUP(F15,'Clb Q (2)'!A$11:G$15,5,0)</f>
        <v>#N/A</v>
      </c>
      <c r="F15" s="180" t="e">
        <f>LARGE('Clb Q (2)'!A$11:A$15,4)</f>
        <v>#N/A</v>
      </c>
      <c r="G15" s="12"/>
      <c r="H15" s="180" t="str">
        <f>IF(INFO!B$8&gt;6,VLOOKUP(L15,'Clb Q (2)'!I$11:O$15,2,0),"")</f>
        <v/>
      </c>
      <c r="I15" s="181" t="str">
        <f>IF(INFO!B$8&gt;6,VLOOKUP(L15,'Clb Q (2)'!I$11:O$15,3,0),"")</f>
        <v/>
      </c>
      <c r="J15" s="182" t="str">
        <f>IF(INFO!B$8&gt;6,VLOOKUP(L15,'Clb Q (2)'!I$11:O$15,4,0),"")</f>
        <v/>
      </c>
      <c r="K15" s="183" t="str">
        <f>IF(INFO!B$8&gt;6,VLOOKUP(L15,'Clb Q (2)'!I$11:O$15,5,0),"")</f>
        <v/>
      </c>
      <c r="L15" s="180" t="str">
        <f>IF(INFO!B$8&gt;6,LARGE('Clb Q (2)'!I$11:I$15,4),"")</f>
        <v/>
      </c>
      <c r="M15" s="12"/>
    </row>
    <row r="16" spans="1:14" ht="22" customHeight="1" thickBot="1" x14ac:dyDescent="0.2">
      <c r="A16" s="176"/>
      <c r="B16" s="184" t="e">
        <f>VLOOKUP(F16,'Clb Q (2)'!A$11:G$15,2,0)</f>
        <v>#N/A</v>
      </c>
      <c r="C16" s="185" t="e">
        <f>VLOOKUP(F16,'Clb Q (2)'!A$11:G$15,3,0)</f>
        <v>#N/A</v>
      </c>
      <c r="D16" s="186" t="e">
        <f>VLOOKUP(F16,'Clb Q (2)'!A$11:G$15,4,0)</f>
        <v>#N/A</v>
      </c>
      <c r="E16" s="187" t="e">
        <f>VLOOKUP(F16,'Clb Q (2)'!A$11:G$15,5,0)</f>
        <v>#N/A</v>
      </c>
      <c r="F16" s="184" t="e">
        <f>LARGE('Clb Q (2)'!A$11:A$15,5)</f>
        <v>#N/A</v>
      </c>
      <c r="G16" s="12"/>
      <c r="H16" s="184" t="str">
        <f>IF(INFO!B$8&gt;6,VLOOKUP(L16,'Clb Q (2)'!I$11:O$15,2,0),"")</f>
        <v/>
      </c>
      <c r="I16" s="185" t="str">
        <f>IF(INFO!B$8&gt;6,VLOOKUP(L16,'Clb Q (2)'!I$11:O$15,3,0),"")</f>
        <v/>
      </c>
      <c r="J16" s="186" t="str">
        <f>IF(INFO!B$8&gt;6,VLOOKUP(L16,'Clb Q (2)'!I$11:O$15,4,0),"")</f>
        <v/>
      </c>
      <c r="K16" s="187" t="str">
        <f>IF(INFO!B$8&gt;6,VLOOKUP(L16,'Clb Q (2)'!I$11:O$15,5,0),"")</f>
        <v/>
      </c>
      <c r="L16" s="184" t="str">
        <f>IF(INFO!B$8&gt;6,LARGE('Clb Q (2)'!I$11:I$15,5),"")</f>
        <v/>
      </c>
      <c r="M16" s="12"/>
    </row>
    <row r="17" spans="1:13" ht="22" customHeight="1" thickBot="1" x14ac:dyDescent="0.2">
      <c r="A17" s="12"/>
      <c r="B17" s="188"/>
      <c r="C17" s="12"/>
      <c r="D17" s="12"/>
      <c r="E17" s="12"/>
      <c r="F17" s="188"/>
      <c r="G17" s="12"/>
      <c r="H17" s="188"/>
      <c r="I17" s="12"/>
      <c r="J17" s="12"/>
      <c r="K17" s="12"/>
      <c r="L17" s="188"/>
      <c r="M17" s="12"/>
    </row>
    <row r="18" spans="1:13" ht="22" customHeight="1" thickBot="1" x14ac:dyDescent="0.2">
      <c r="A18" s="12"/>
      <c r="B18" s="175" t="str">
        <f>IF(INFO!B8&gt;2,"CLUB N°3","")</f>
        <v/>
      </c>
      <c r="C18" s="253" t="str">
        <f>IF(INFO!B8&gt;2,'Clb Q (2)'!C17,"")</f>
        <v/>
      </c>
      <c r="D18" s="254"/>
      <c r="E18" s="254"/>
      <c r="F18" s="174" t="str">
        <f>IF(INFO!B8&gt;2,'Clb Q (2)'!F17,"")</f>
        <v/>
      </c>
      <c r="G18" s="12"/>
      <c r="H18" s="175" t="str">
        <f>IF(INFO!B8&gt;5,"CLUB N°6","")</f>
        <v/>
      </c>
      <c r="I18" s="253" t="str">
        <f>IF(INFO!B8&gt;5,'Clb Q (2)'!K17,"")</f>
        <v/>
      </c>
      <c r="J18" s="254"/>
      <c r="K18" s="254"/>
      <c r="L18" s="174" t="str">
        <f>IF(INFO!B8&gt;5,'Clb Q (2)'!N17,"")</f>
        <v/>
      </c>
      <c r="M18" s="12"/>
    </row>
    <row r="19" spans="1:13" ht="22" customHeight="1" thickBot="1" x14ac:dyDescent="0.2">
      <c r="A19" s="176"/>
      <c r="B19" s="175" t="s">
        <v>14</v>
      </c>
      <c r="C19" s="177" t="s">
        <v>15</v>
      </c>
      <c r="D19" s="178" t="s">
        <v>31</v>
      </c>
      <c r="E19" s="179" t="s">
        <v>33</v>
      </c>
      <c r="F19" s="175" t="s">
        <v>34</v>
      </c>
      <c r="G19" s="12"/>
      <c r="H19" s="175" t="s">
        <v>14</v>
      </c>
      <c r="I19" s="177" t="s">
        <v>15</v>
      </c>
      <c r="J19" s="178" t="s">
        <v>31</v>
      </c>
      <c r="K19" s="179" t="s">
        <v>33</v>
      </c>
      <c r="L19" s="175" t="s">
        <v>34</v>
      </c>
      <c r="M19" s="12"/>
    </row>
    <row r="20" spans="1:13" ht="22" customHeight="1" x14ac:dyDescent="0.15">
      <c r="A20" s="176"/>
      <c r="B20" s="180" t="str">
        <f>IF(INFO!B$8&gt;2,VLOOKUP(F20,'Clb Q (2)'!A$19:G$23,2,0),"")</f>
        <v/>
      </c>
      <c r="C20" s="181" t="str">
        <f>IF(INFO!B$8&gt;2,VLOOKUP(F20,'Clb Q (2)'!A$19:G$23,3,0),"")</f>
        <v/>
      </c>
      <c r="D20" s="182" t="str">
        <f>IF(INFO!B$8&gt;2,VLOOKUP(F20,'Clb Q (2)'!A$19:G$23,4,0),"")</f>
        <v/>
      </c>
      <c r="E20" s="183" t="str">
        <f>IF(INFO!B$8&gt;2,VLOOKUP(F20,'Clb Q (2)'!A$19:G$23,5,0),"")</f>
        <v/>
      </c>
      <c r="F20" s="180" t="str">
        <f>IF(INFO!B$8&gt;2,LARGE('Clb Q (2)'!A$19:A$23,1),"")</f>
        <v/>
      </c>
      <c r="G20" s="12"/>
      <c r="H20" s="180" t="str">
        <f>IF(INFO!B$8&gt;5,VLOOKUP(L20,'Clb Q (2)'!I$19:O$23,2,0),"")</f>
        <v/>
      </c>
      <c r="I20" s="181" t="str">
        <f>IF(INFO!B$8&gt;5,VLOOKUP(L20,'Clb Q (2)'!I$19:O$23,3,0),"")</f>
        <v/>
      </c>
      <c r="J20" s="182" t="str">
        <f>IF(INFO!B$8&gt;5,VLOOKUP(L20,'Clb Q (2)'!I$19:O$23,4,0),"")</f>
        <v/>
      </c>
      <c r="K20" s="183" t="str">
        <f>IF(INFO!B$8&gt;5,VLOOKUP(L20,'Clb Q (2)'!I$19:O$23,5,0),"")</f>
        <v/>
      </c>
      <c r="L20" s="180" t="str">
        <f>IF(INFO!B$8&gt;5,LARGE('Clb Q (2)'!I$19:I$23,1),"")</f>
        <v/>
      </c>
      <c r="M20" s="12"/>
    </row>
    <row r="21" spans="1:13" ht="22" customHeight="1" x14ac:dyDescent="0.15">
      <c r="A21" s="176"/>
      <c r="B21" s="180" t="str">
        <f>IF(INFO!B$8&gt;2,VLOOKUP(F21,'Clb Q (2)'!A$19:G$23,2,0),"")</f>
        <v/>
      </c>
      <c r="C21" s="181" t="str">
        <f>IF(INFO!B$8&gt;2,VLOOKUP(F21,'Clb Q (2)'!A$19:G$23,3,0),"")</f>
        <v/>
      </c>
      <c r="D21" s="182" t="str">
        <f>IF(INFO!B$8&gt;2,VLOOKUP(F21,'Clb Q (2)'!A$19:G$23,4,0),"")</f>
        <v/>
      </c>
      <c r="E21" s="183" t="str">
        <f>IF(INFO!B$8&gt;2,VLOOKUP(F21,'Clb Q (2)'!A$19:G$23,5,0),"")</f>
        <v/>
      </c>
      <c r="F21" s="180" t="str">
        <f>IF(INFO!B$8&gt;2,LARGE('Clb Q (2)'!A$19:A$23,2),"")</f>
        <v/>
      </c>
      <c r="G21" s="12"/>
      <c r="H21" s="180" t="str">
        <f>IF(INFO!B$8&gt;5,VLOOKUP(L21,'Clb Q (2)'!I$19:O$23,2,0),"")</f>
        <v/>
      </c>
      <c r="I21" s="181" t="str">
        <f>IF(INFO!B$8&gt;5,VLOOKUP(L21,'Clb Q (2)'!I$19:O$23,3,0),"")</f>
        <v/>
      </c>
      <c r="J21" s="182" t="str">
        <f>IF(INFO!B$8&gt;5,VLOOKUP(L21,'Clb Q (2)'!I$19:O$23,4,0),"")</f>
        <v/>
      </c>
      <c r="K21" s="183" t="str">
        <f>IF(INFO!B$8&gt;5,VLOOKUP(L21,'Clb Q (2)'!I$19:O$23,5,0),"")</f>
        <v/>
      </c>
      <c r="L21" s="180" t="str">
        <f>IF(INFO!B$8&gt;5,LARGE('Clb Q (2)'!I$19:I$23,2),"")</f>
        <v/>
      </c>
      <c r="M21" s="12"/>
    </row>
    <row r="22" spans="1:13" ht="22" customHeight="1" x14ac:dyDescent="0.15">
      <c r="A22" s="176"/>
      <c r="B22" s="180" t="str">
        <f>IF(INFO!B$8&gt;2,VLOOKUP(F22,'Clb Q (2)'!A$19:G$23,2,0),"")</f>
        <v/>
      </c>
      <c r="C22" s="181" t="str">
        <f>IF(INFO!B$8&gt;2,VLOOKUP(F22,'Clb Q (2)'!A$19:G$23,3,0),"")</f>
        <v/>
      </c>
      <c r="D22" s="182" t="str">
        <f>IF(INFO!B$8&gt;2,VLOOKUP(F22,'Clb Q (2)'!A$19:G$23,4,0),"")</f>
        <v/>
      </c>
      <c r="E22" s="183" t="str">
        <f>IF(INFO!B$8&gt;2,VLOOKUP(F22,'Clb Q (2)'!A$19:G$23,5,0),"")</f>
        <v/>
      </c>
      <c r="F22" s="180" t="str">
        <f>IF(INFO!B$8&gt;2,LARGE('Clb Q (2)'!A$19:A$23,3),"")</f>
        <v/>
      </c>
      <c r="G22" s="12"/>
      <c r="H22" s="180" t="str">
        <f>IF(INFO!B$8&gt;5,VLOOKUP(L22,'Clb Q (2)'!I$19:O$23,2,0),"")</f>
        <v/>
      </c>
      <c r="I22" s="181" t="str">
        <f>IF(INFO!B$8&gt;5,VLOOKUP(L22,'Clb Q (2)'!I$19:O$23,3,0),"")</f>
        <v/>
      </c>
      <c r="J22" s="182" t="str">
        <f>IF(INFO!B$8&gt;5,VLOOKUP(L22,'Clb Q (2)'!I$19:O$23,4,0),"")</f>
        <v/>
      </c>
      <c r="K22" s="183" t="str">
        <f>IF(INFO!B$8&gt;5,VLOOKUP(L22,'Clb Q (2)'!I$19:O$23,5,0),"")</f>
        <v/>
      </c>
      <c r="L22" s="180" t="str">
        <f>IF(INFO!B$8&gt;5,LARGE('Clb Q (2)'!I$19:I$23,3),"")</f>
        <v/>
      </c>
      <c r="M22" s="12"/>
    </row>
    <row r="23" spans="1:13" ht="22" customHeight="1" x14ac:dyDescent="0.15">
      <c r="A23" s="176"/>
      <c r="B23" s="180" t="str">
        <f>IF(INFO!B$8&gt;2,VLOOKUP(F23,'Clb Q (2)'!A$19:G$23,2,0),"")</f>
        <v/>
      </c>
      <c r="C23" s="181" t="str">
        <f>IF(INFO!B$8&gt;2,VLOOKUP(F23,'Clb Q (2)'!A$19:G$23,3,0),"")</f>
        <v/>
      </c>
      <c r="D23" s="182" t="str">
        <f>IF(INFO!B$8&gt;2,VLOOKUP(F23,'Clb Q (2)'!A$19:G$23,4,0),"")</f>
        <v/>
      </c>
      <c r="E23" s="183" t="str">
        <f>IF(INFO!B$8&gt;2,VLOOKUP(F23,'Clb Q (2)'!A$19:G$23,5,0),"")</f>
        <v/>
      </c>
      <c r="F23" s="180" t="str">
        <f>IF(INFO!B$8&gt;2,LARGE('Clb Q (2)'!A$19:A$23,4),"")</f>
        <v/>
      </c>
      <c r="G23" s="12"/>
      <c r="H23" s="180" t="str">
        <f>IF(INFO!B$8&gt;5,VLOOKUP(L23,'Clb Q (2)'!I$19:O$23,2,0),"")</f>
        <v/>
      </c>
      <c r="I23" s="181" t="str">
        <f>IF(INFO!B$8&gt;5,VLOOKUP(L23,'Clb Q (2)'!I$19:O$23,3,0),"")</f>
        <v/>
      </c>
      <c r="J23" s="182" t="str">
        <f>IF(INFO!B$8&gt;5,VLOOKUP(L23,'Clb Q (2)'!I$19:O$23,4,0),"")</f>
        <v/>
      </c>
      <c r="K23" s="183" t="str">
        <f>IF(INFO!B$8&gt;5,VLOOKUP(L23,'Clb Q (2)'!I$19:O$23,5,0),"")</f>
        <v/>
      </c>
      <c r="L23" s="180" t="str">
        <f>IF(INFO!B$8&gt;5,LARGE('Clb Q (2)'!I$19:I$23,4),"")</f>
        <v/>
      </c>
      <c r="M23" s="12"/>
    </row>
    <row r="24" spans="1:13" ht="22" customHeight="1" thickBot="1" x14ac:dyDescent="0.2">
      <c r="A24" s="176"/>
      <c r="B24" s="184" t="str">
        <f>IF(INFO!B$8&gt;2,VLOOKUP(F24,'Clb Q (2)'!A$19:G$23,2,0),"")</f>
        <v/>
      </c>
      <c r="C24" s="185" t="str">
        <f>IF(INFO!B$8&gt;2,VLOOKUP(F24,'Clb Q (2)'!A$19:G$23,3,0),"")</f>
        <v/>
      </c>
      <c r="D24" s="186" t="str">
        <f>IF(INFO!B$8&gt;2,VLOOKUP(F24,'Clb Q (2)'!A$19:G$23,4,0),"")</f>
        <v/>
      </c>
      <c r="E24" s="187" t="str">
        <f>IF(INFO!B$8&gt;2,VLOOKUP(F24,'Clb Q (2)'!A$19:G$23,5,0),"")</f>
        <v/>
      </c>
      <c r="F24" s="184" t="str">
        <f>IF(INFO!B$8&gt;2,LARGE('Clb Q (2)'!A$19:A$23,5),"")</f>
        <v/>
      </c>
      <c r="G24" s="12"/>
      <c r="H24" s="184" t="str">
        <f>IF(INFO!B$8&gt;5,VLOOKUP(L24,'Clb Q (2)'!I$19:O$23,2,0),"")</f>
        <v/>
      </c>
      <c r="I24" s="185" t="str">
        <f>IF(INFO!B$8&gt;5,VLOOKUP(L24,'Clb Q (2)'!I$19:O$23,3,0),"")</f>
        <v/>
      </c>
      <c r="J24" s="186" t="str">
        <f>IF(INFO!B$8&gt;5,VLOOKUP(L24,'Clb Q (2)'!I$19:O$23,4,0),"")</f>
        <v/>
      </c>
      <c r="K24" s="187" t="str">
        <f>IF(INFO!B$8&gt;5,VLOOKUP(L24,'Clb Q (2)'!I$19:O$23,5,0),"")</f>
        <v/>
      </c>
      <c r="L24" s="184" t="str">
        <f>IF(INFO!B$8&gt;5,LARGE('Clb Q (2)'!I$19:I$23,5),"")</f>
        <v/>
      </c>
      <c r="M24" s="12"/>
    </row>
    <row r="25" spans="1:13" ht="22" customHeight="1" thickBot="1" x14ac:dyDescent="0.2">
      <c r="A25" s="12"/>
      <c r="B25" s="188"/>
      <c r="C25" s="12"/>
      <c r="D25" s="12"/>
      <c r="E25" s="12"/>
      <c r="F25" s="188"/>
      <c r="G25" s="12"/>
      <c r="H25" s="188"/>
      <c r="I25" s="12"/>
      <c r="J25" s="12"/>
      <c r="K25" s="12"/>
      <c r="L25" s="188"/>
      <c r="M25" s="12"/>
    </row>
    <row r="26" spans="1:13" ht="22" customHeight="1" thickBot="1" x14ac:dyDescent="0.2">
      <c r="A26" s="12"/>
      <c r="B26" s="175" t="str">
        <f>IF(INFO!B8&gt;3,"CLUB N°4","")</f>
        <v/>
      </c>
      <c r="C26" s="253" t="str">
        <f>IF(INFO!B8&gt;3,'Clb Q (2)'!C25,"")</f>
        <v/>
      </c>
      <c r="D26" s="254"/>
      <c r="E26" s="254"/>
      <c r="F26" s="174" t="str">
        <f>IF(INFO!B8&gt;3,'Clb Q (2)'!F25,"")</f>
        <v/>
      </c>
      <c r="G26" s="12"/>
      <c r="H26" s="175" t="str">
        <f>IF(INFO!B8&gt;4,"CLUB N°5","")</f>
        <v/>
      </c>
      <c r="I26" s="253" t="str">
        <f>IF(INFO!B8&gt;4,'Clb Q (2)'!K25,"")</f>
        <v/>
      </c>
      <c r="J26" s="254"/>
      <c r="K26" s="254"/>
      <c r="L26" s="174" t="str">
        <f>IF(INFO!B8&gt;4,'Clb Q (2)'!N25,"")</f>
        <v/>
      </c>
      <c r="M26" s="12"/>
    </row>
    <row r="27" spans="1:13" ht="22" customHeight="1" thickBot="1" x14ac:dyDescent="0.2">
      <c r="A27" s="176"/>
      <c r="B27" s="175" t="s">
        <v>14</v>
      </c>
      <c r="C27" s="177" t="s">
        <v>15</v>
      </c>
      <c r="D27" s="178" t="s">
        <v>31</v>
      </c>
      <c r="E27" s="179" t="s">
        <v>33</v>
      </c>
      <c r="F27" s="175" t="s">
        <v>34</v>
      </c>
      <c r="G27" s="12"/>
      <c r="H27" s="175" t="s">
        <v>14</v>
      </c>
      <c r="I27" s="177" t="s">
        <v>15</v>
      </c>
      <c r="J27" s="178" t="s">
        <v>31</v>
      </c>
      <c r="K27" s="179" t="s">
        <v>33</v>
      </c>
      <c r="L27" s="175" t="s">
        <v>34</v>
      </c>
      <c r="M27" s="12"/>
    </row>
    <row r="28" spans="1:13" ht="22" customHeight="1" x14ac:dyDescent="0.15">
      <c r="A28" s="176"/>
      <c r="B28" s="180" t="str">
        <f>IF(INFO!B$8&gt;3,VLOOKUP(F28,'Clb Q (2)'!A$27:G$31,2,0),"")</f>
        <v/>
      </c>
      <c r="C28" s="181" t="str">
        <f>IF(INFO!B$8&gt;3,VLOOKUP(F28,'Clb Q (2)'!A$27:G$31,3,0),"")</f>
        <v/>
      </c>
      <c r="D28" s="182" t="str">
        <f>IF(INFO!B$8&gt;3,VLOOKUP(F28,'Clb Q (2)'!A$27:G$31,4,0),"")</f>
        <v/>
      </c>
      <c r="E28" s="183" t="str">
        <f>IF(INFO!B$8&gt;3,VLOOKUP(F28,'Clb Q (2)'!A$27:G$31,5,0),"")</f>
        <v/>
      </c>
      <c r="F28" s="180" t="str">
        <f>IF(INFO!B$8&gt;3,LARGE('Clb Q (2)'!A$27:A$31,1),"")</f>
        <v/>
      </c>
      <c r="G28" s="12"/>
      <c r="H28" s="180" t="str">
        <f>IF(INFO!B$8&gt;4,VLOOKUP(L28,'Clb Q (2)'!I$27:O$31,2,0),"")</f>
        <v/>
      </c>
      <c r="I28" s="181" t="str">
        <f>IF(INFO!B$8&gt;4,VLOOKUP(L28,'Clb Q (2)'!I$27:O$31,3,0),"")</f>
        <v/>
      </c>
      <c r="J28" s="182" t="str">
        <f>IF(INFO!B$8&gt;4,VLOOKUP(L28,'Clb Q (2)'!I$27:O$31,4,0),"")</f>
        <v/>
      </c>
      <c r="K28" s="183" t="str">
        <f>IF(INFO!B$8&gt;4,VLOOKUP(L28,'Clb Q (2)'!I$27:O$31,5,0),"")</f>
        <v/>
      </c>
      <c r="L28" s="180" t="str">
        <f>IF(INFO!B$8&gt;4,LARGE('Clb Q (2)'!I$27:I$31,1),"")</f>
        <v/>
      </c>
      <c r="M28" s="12"/>
    </row>
    <row r="29" spans="1:13" ht="22" customHeight="1" x14ac:dyDescent="0.15">
      <c r="A29" s="176"/>
      <c r="B29" s="180" t="str">
        <f>IF(INFO!B$8&gt;3,VLOOKUP(F29,'Clb Q (2)'!A$27:G$31,2,0),"")</f>
        <v/>
      </c>
      <c r="C29" s="181" t="str">
        <f>IF(INFO!B$8&gt;3,VLOOKUP(F29,'Clb Q (2)'!A$27:G$31,3,0),"")</f>
        <v/>
      </c>
      <c r="D29" s="182" t="str">
        <f>IF(INFO!B$8&gt;3,VLOOKUP(F29,'Clb Q (2)'!A$27:G$31,4,0),"")</f>
        <v/>
      </c>
      <c r="E29" s="183" t="str">
        <f>IF(INFO!B$8&gt;3,VLOOKUP(F29,'Clb Q (2)'!A$27:G$31,5,0),"")</f>
        <v/>
      </c>
      <c r="F29" s="180" t="str">
        <f>IF(INFO!B$8&gt;3,LARGE('Clb Q (2)'!A$27:A$31,2),"")</f>
        <v/>
      </c>
      <c r="G29" s="12"/>
      <c r="H29" s="180" t="str">
        <f>IF(INFO!B$8&gt;4,VLOOKUP(L29,'Clb Q (2)'!I$27:O$31,2,0),"")</f>
        <v/>
      </c>
      <c r="I29" s="181" t="str">
        <f>IF(INFO!B$8&gt;4,VLOOKUP(L29,'Clb Q (2)'!I$27:O$31,3,0),"")</f>
        <v/>
      </c>
      <c r="J29" s="182" t="str">
        <f>IF(INFO!B$8&gt;4,VLOOKUP(L29,'Clb Q (2)'!I$27:O$31,4,0),"")</f>
        <v/>
      </c>
      <c r="K29" s="183" t="str">
        <f>IF(INFO!B$8&gt;4,VLOOKUP(L29,'Clb Q (2)'!I$27:O$31,5,0),"")</f>
        <v/>
      </c>
      <c r="L29" s="180" t="str">
        <f>IF(INFO!B$8&gt;4,LARGE('Clb Q (2)'!I$27:I$31,2),"")</f>
        <v/>
      </c>
      <c r="M29" s="12"/>
    </row>
    <row r="30" spans="1:13" ht="22" customHeight="1" x14ac:dyDescent="0.15">
      <c r="A30" s="176"/>
      <c r="B30" s="180" t="str">
        <f>IF(INFO!B$8&gt;3,VLOOKUP(F30,'Clb Q (2)'!A$27:G$31,2,0),"")</f>
        <v/>
      </c>
      <c r="C30" s="181" t="str">
        <f>IF(INFO!B$8&gt;3,VLOOKUP(F30,'Clb Q (2)'!A$27:G$31,3,0),"")</f>
        <v/>
      </c>
      <c r="D30" s="182" t="str">
        <f>IF(INFO!B$8&gt;3,VLOOKUP(F30,'Clb Q (2)'!A$27:G$31,4,0),"")</f>
        <v/>
      </c>
      <c r="E30" s="183" t="str">
        <f>IF(INFO!B$8&gt;3,VLOOKUP(F30,'Clb Q (2)'!A$27:G$31,5,0),"")</f>
        <v/>
      </c>
      <c r="F30" s="180" t="str">
        <f>IF(INFO!B$8&gt;3,LARGE('Clb Q (2)'!A$27:A$31,3),"")</f>
        <v/>
      </c>
      <c r="G30" s="12"/>
      <c r="H30" s="180" t="str">
        <f>IF(INFO!B$8&gt;4,VLOOKUP(L30,'Clb Q (2)'!I$27:O$31,2,0),"")</f>
        <v/>
      </c>
      <c r="I30" s="181" t="str">
        <f>IF(INFO!B$8&gt;4,VLOOKUP(L30,'Clb Q (2)'!I$27:O$31,3,0),"")</f>
        <v/>
      </c>
      <c r="J30" s="182" t="str">
        <f>IF(INFO!B$8&gt;4,VLOOKUP(L30,'Clb Q (2)'!I$27:O$31,4,0),"")</f>
        <v/>
      </c>
      <c r="K30" s="183" t="str">
        <f>IF(INFO!B$8&gt;4,VLOOKUP(L30,'Clb Q (2)'!I$27:O$31,5,0),"")</f>
        <v/>
      </c>
      <c r="L30" s="180" t="str">
        <f>IF(INFO!B$8&gt;4,LARGE('Clb Q (2)'!I$27:I$31,3),"")</f>
        <v/>
      </c>
      <c r="M30" s="12"/>
    </row>
    <row r="31" spans="1:13" ht="22" customHeight="1" x14ac:dyDescent="0.15">
      <c r="A31" s="176"/>
      <c r="B31" s="180" t="str">
        <f>IF(INFO!B$8&gt;3,VLOOKUP(F31,'Clb Q (2)'!A$27:G$31,2,0),"")</f>
        <v/>
      </c>
      <c r="C31" s="181" t="str">
        <f>IF(INFO!B$8&gt;3,VLOOKUP(F31,'Clb Q (2)'!A$27:G$31,3,0),"")</f>
        <v/>
      </c>
      <c r="D31" s="182" t="str">
        <f>IF(INFO!B$8&gt;3,VLOOKUP(F31,'Clb Q (2)'!A$27:G$31,4,0),"")</f>
        <v/>
      </c>
      <c r="E31" s="183" t="str">
        <f>IF(INFO!B$8&gt;3,VLOOKUP(F31,'Clb Q (2)'!A$27:G$31,5,0),"")</f>
        <v/>
      </c>
      <c r="F31" s="180" t="str">
        <f>IF(INFO!B$8&gt;3,LARGE('Clb Q (2)'!A$27:A$31,4),"")</f>
        <v/>
      </c>
      <c r="G31" s="12"/>
      <c r="H31" s="180" t="str">
        <f>IF(INFO!B$8&gt;4,VLOOKUP(L31,'Clb Q (2)'!I$27:O$31,2,0),"")</f>
        <v/>
      </c>
      <c r="I31" s="181" t="str">
        <f>IF(INFO!B$8&gt;4,VLOOKUP(L31,'Clb Q (2)'!I$27:O$31,3,0),"")</f>
        <v/>
      </c>
      <c r="J31" s="182" t="str">
        <f>IF(INFO!B$8&gt;4,VLOOKUP(L31,'Clb Q (2)'!I$27:O$31,4,0),"")</f>
        <v/>
      </c>
      <c r="K31" s="183" t="str">
        <f>IF(INFO!B$8&gt;4,VLOOKUP(L31,'Clb Q (2)'!I$27:O$31,5,0),"")</f>
        <v/>
      </c>
      <c r="L31" s="180" t="str">
        <f>IF(INFO!B$8&gt;4,LARGE('Clb Q (2)'!I$27:I$31,4),"")</f>
        <v/>
      </c>
      <c r="M31" s="12"/>
    </row>
    <row r="32" spans="1:13" ht="22" customHeight="1" thickBot="1" x14ac:dyDescent="0.2">
      <c r="A32" s="176"/>
      <c r="B32" s="184" t="str">
        <f>IF(INFO!B$8&gt;3,VLOOKUP(F32,'Clb Q (2)'!A$27:G$31,2,0),"")</f>
        <v/>
      </c>
      <c r="C32" s="185" t="str">
        <f>IF(INFO!B$8&gt;3,VLOOKUP(F32,'Clb Q (2)'!A$27:G$31,3,0),"")</f>
        <v/>
      </c>
      <c r="D32" s="186" t="str">
        <f>IF(INFO!B$8&gt;3,VLOOKUP(F32,'Clb Q (2)'!A$27:G$31,4,0),"")</f>
        <v/>
      </c>
      <c r="E32" s="187" t="str">
        <f>IF(INFO!B$8&gt;3,VLOOKUP(F32,'Clb Q (2)'!A$27:G$31,5,0),"")</f>
        <v/>
      </c>
      <c r="F32" s="184" t="str">
        <f>IF(INFO!B$8&gt;3,LARGE('Clb Q (2)'!A$27:A$31,5),"")</f>
        <v/>
      </c>
      <c r="G32" s="12"/>
      <c r="H32" s="184" t="str">
        <f>IF(INFO!B$8&gt;4,VLOOKUP(L32,'Clb Q (2)'!I$27:O$31,2,0),"")</f>
        <v/>
      </c>
      <c r="I32" s="185" t="str">
        <f>IF(INFO!B$8&gt;4,VLOOKUP(L32,'Clb Q (2)'!I$27:O$31,3,0),"")</f>
        <v/>
      </c>
      <c r="J32" s="186" t="str">
        <f>IF(INFO!B$8&gt;4,VLOOKUP(L32,'Clb Q (2)'!I$27:O$31,4,0),"")</f>
        <v/>
      </c>
      <c r="K32" s="187" t="str">
        <f>IF(INFO!B$8&gt;4,VLOOKUP(L32,'Clb Q (2)'!I$27:O$31,5,0),"")</f>
        <v/>
      </c>
      <c r="L32" s="184" t="str">
        <f>IF(INFO!B$8&gt;4,LARGE('Clb Q (2)'!I$27:I$31,5),"")</f>
        <v/>
      </c>
      <c r="M32" s="12"/>
    </row>
  </sheetData>
  <sheetProtection algorithmName="SHA-512" hashValue="DsnxRAeGeHRTBERSQ+txljOG8KAUSM4t6pek9P/+4ajF92N8AsudU0bcnVbdB3G5h7s3UNt+UoLB5YFr+waErQ==" saltValue="nzDWP5lll6fdJoRp0OncXw==" spinCount="100000" sheet="1" objects="1" scenarios="1" formatColumns="0" selectLockedCells="1" selectUnlockedCells="1"/>
  <mergeCells count="9">
    <mergeCell ref="B1:L1"/>
    <mergeCell ref="C26:E26"/>
    <mergeCell ref="I26:K26"/>
    <mergeCell ref="C18:E18"/>
    <mergeCell ref="I18:K18"/>
    <mergeCell ref="C2:E2"/>
    <mergeCell ref="I2:K2"/>
    <mergeCell ref="C10:E10"/>
    <mergeCell ref="I10:K10"/>
  </mergeCells>
  <phoneticPr fontId="2"/>
  <conditionalFormatting sqref="A1:XFD1048576">
    <cfRule type="cellIs" dxfId="23" priority="1" operator="equal">
      <formula>0</formula>
    </cfRule>
    <cfRule type="containsErrors" dxfId="22" priority="2">
      <formula>ISERROR(A1)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76" orientation="landscape" horizontalDpi="4294967294" verticalDpi="4294967294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B1:U77"/>
  <sheetViews>
    <sheetView showGridLines="0" zoomScale="80" zoomScaleNormal="80" zoomScalePageLayoutView="80" workbookViewId="0">
      <pane ySplit="3" topLeftCell="A4" activePane="bottomLeft" state="frozenSplit"/>
      <selection activeCell="B12" sqref="B12"/>
      <selection pane="bottomLeft" activeCell="M71" sqref="M71:M77"/>
    </sheetView>
  </sheetViews>
  <sheetFormatPr baseColWidth="10" defaultColWidth="8.1640625" defaultRowHeight="28" customHeight="1" outlineLevelRow="1" x14ac:dyDescent="0.15"/>
  <cols>
    <col min="1" max="2" width="8.1640625" style="23" customWidth="1"/>
    <col min="3" max="3" width="10.6640625" style="23" customWidth="1"/>
    <col min="4" max="5" width="8.1640625" style="23" customWidth="1"/>
    <col min="6" max="7" width="6.6640625" style="23" customWidth="1"/>
    <col min="8" max="9" width="8.1640625" style="23" customWidth="1"/>
    <col min="10" max="10" width="10.6640625" style="23" customWidth="1"/>
    <col min="11" max="12" width="6.6640625" style="23" customWidth="1"/>
    <col min="13" max="13" width="10.6640625" style="23" customWidth="1"/>
    <col min="14" max="15" width="8.1640625" style="23" customWidth="1"/>
    <col min="16" max="17" width="6.6640625" style="23" customWidth="1"/>
    <col min="18" max="19" width="8.1640625" style="23" customWidth="1"/>
    <col min="20" max="20" width="10.6640625" style="23" customWidth="1"/>
    <col min="21" max="16384" width="8.1640625" style="23"/>
  </cols>
  <sheetData>
    <row r="1" spans="2:21" ht="29" customHeight="1" x14ac:dyDescent="0.15"/>
    <row r="2" spans="2:21" ht="62" x14ac:dyDescent="0.15">
      <c r="B2" s="281" t="str">
        <f>CONCATENATE(INFO!B7," - ",INFO!B9)</f>
        <v xml:space="preserve"> - </v>
      </c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1"/>
      <c r="U2" s="281"/>
    </row>
    <row r="3" spans="2:21" ht="29" customHeight="1" x14ac:dyDescent="0.15"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</row>
    <row r="4" spans="2:21" ht="60" customHeight="1" thickBot="1" x14ac:dyDescent="0.2">
      <c r="B4" s="268" t="s">
        <v>51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</row>
    <row r="5" spans="2:21" s="24" customFormat="1" ht="28" customHeight="1" thickBot="1" x14ac:dyDescent="0.2">
      <c r="C5" s="285">
        <f>'Clb Q'!C2</f>
        <v>0</v>
      </c>
      <c r="D5" s="286"/>
      <c r="E5" s="287"/>
      <c r="F5" s="259" t="s">
        <v>43</v>
      </c>
      <c r="G5" s="260"/>
      <c r="H5" s="285" t="str">
        <f>'Clb Q'!I2</f>
        <v/>
      </c>
      <c r="I5" s="286"/>
      <c r="J5" s="287"/>
      <c r="M5" s="285" t="str">
        <f>'Clb Q'!C18</f>
        <v/>
      </c>
      <c r="N5" s="286"/>
      <c r="O5" s="287"/>
      <c r="P5" s="259" t="s">
        <v>43</v>
      </c>
      <c r="Q5" s="260"/>
      <c r="R5" s="285" t="str">
        <f>'Clb Q'!I18</f>
        <v/>
      </c>
      <c r="S5" s="286"/>
      <c r="T5" s="287"/>
    </row>
    <row r="6" spans="2:21" s="25" customFormat="1" ht="22" customHeight="1" outlineLevel="1" x14ac:dyDescent="0.15">
      <c r="C6" s="282">
        <f>'Clb Q'!B4</f>
        <v>0</v>
      </c>
      <c r="D6" s="283"/>
      <c r="E6" s="284"/>
      <c r="F6" s="107">
        <v>1</v>
      </c>
      <c r="G6" s="108">
        <v>2</v>
      </c>
      <c r="H6" s="282" t="str">
        <f>'Clb Q'!H4</f>
        <v/>
      </c>
      <c r="I6" s="283"/>
      <c r="J6" s="284"/>
      <c r="M6" s="282" t="str">
        <f>'Clb Q'!B20</f>
        <v/>
      </c>
      <c r="N6" s="283"/>
      <c r="O6" s="284"/>
      <c r="P6" s="107">
        <v>1</v>
      </c>
      <c r="Q6" s="108">
        <v>2</v>
      </c>
      <c r="R6" s="282" t="str">
        <f>'Clb Q'!H20</f>
        <v/>
      </c>
      <c r="S6" s="283"/>
      <c r="T6" s="284"/>
    </row>
    <row r="7" spans="2:21" s="25" customFormat="1" ht="22" customHeight="1" outlineLevel="1" x14ac:dyDescent="0.15">
      <c r="C7" s="282">
        <f>'Clb Q'!B5</f>
        <v>0</v>
      </c>
      <c r="D7" s="283"/>
      <c r="E7" s="284"/>
      <c r="F7" s="109">
        <v>3</v>
      </c>
      <c r="G7" s="110">
        <v>4</v>
      </c>
      <c r="H7" s="282" t="str">
        <f>'Clb Q'!H5</f>
        <v/>
      </c>
      <c r="I7" s="283"/>
      <c r="J7" s="284"/>
      <c r="M7" s="282" t="str">
        <f>'Clb Q'!B21</f>
        <v/>
      </c>
      <c r="N7" s="283"/>
      <c r="O7" s="284"/>
      <c r="P7" s="109">
        <v>3</v>
      </c>
      <c r="Q7" s="110">
        <v>4</v>
      </c>
      <c r="R7" s="282" t="str">
        <f>'Clb Q'!H21</f>
        <v/>
      </c>
      <c r="S7" s="283"/>
      <c r="T7" s="284"/>
    </row>
    <row r="8" spans="2:21" s="25" customFormat="1" ht="22" customHeight="1" outlineLevel="1" x14ac:dyDescent="0.15">
      <c r="C8" s="282">
        <f>'Clb Q'!B6</f>
        <v>0</v>
      </c>
      <c r="D8" s="283"/>
      <c r="E8" s="284"/>
      <c r="F8" s="109">
        <v>5</v>
      </c>
      <c r="G8" s="110">
        <v>6</v>
      </c>
      <c r="H8" s="282" t="str">
        <f>'Clb Q'!H6</f>
        <v/>
      </c>
      <c r="I8" s="283"/>
      <c r="J8" s="284"/>
      <c r="M8" s="282" t="str">
        <f>'Clb Q'!B22</f>
        <v/>
      </c>
      <c r="N8" s="283"/>
      <c r="O8" s="284"/>
      <c r="P8" s="109">
        <v>5</v>
      </c>
      <c r="Q8" s="110">
        <v>6</v>
      </c>
      <c r="R8" s="282" t="str">
        <f>'Clb Q'!H22</f>
        <v/>
      </c>
      <c r="S8" s="283"/>
      <c r="T8" s="284"/>
    </row>
    <row r="9" spans="2:21" s="25" customFormat="1" ht="22" customHeight="1" outlineLevel="1" x14ac:dyDescent="0.15">
      <c r="C9" s="282">
        <f>'Clb Q'!B7</f>
        <v>0</v>
      </c>
      <c r="D9" s="283"/>
      <c r="E9" s="284"/>
      <c r="F9" s="109">
        <v>7</v>
      </c>
      <c r="G9" s="110">
        <v>8</v>
      </c>
      <c r="H9" s="282" t="str">
        <f>'Clb Q'!H7</f>
        <v/>
      </c>
      <c r="I9" s="283"/>
      <c r="J9" s="284"/>
      <c r="M9" s="282" t="str">
        <f>'Clb Q'!B23</f>
        <v/>
      </c>
      <c r="N9" s="283"/>
      <c r="O9" s="284"/>
      <c r="P9" s="109">
        <v>7</v>
      </c>
      <c r="Q9" s="110">
        <v>8</v>
      </c>
      <c r="R9" s="282" t="str">
        <f>'Clb Q'!H23</f>
        <v/>
      </c>
      <c r="S9" s="283"/>
      <c r="T9" s="284"/>
    </row>
    <row r="10" spans="2:21" s="25" customFormat="1" ht="22" customHeight="1" outlineLevel="1" thickBot="1" x14ac:dyDescent="0.2">
      <c r="C10" s="282">
        <f>'Clb Q'!B8</f>
        <v>0</v>
      </c>
      <c r="D10" s="283"/>
      <c r="E10" s="284"/>
      <c r="F10" s="111">
        <v>9</v>
      </c>
      <c r="G10" s="112">
        <v>10</v>
      </c>
      <c r="H10" s="282" t="str">
        <f>'Clb Q'!H8</f>
        <v/>
      </c>
      <c r="I10" s="283"/>
      <c r="J10" s="284"/>
      <c r="M10" s="282" t="str">
        <f>'Clb Q'!B24</f>
        <v/>
      </c>
      <c r="N10" s="283"/>
      <c r="O10" s="284"/>
      <c r="P10" s="111">
        <v>9</v>
      </c>
      <c r="Q10" s="112">
        <v>10</v>
      </c>
      <c r="R10" s="282" t="str">
        <f>'Clb Q'!H24</f>
        <v/>
      </c>
      <c r="S10" s="283"/>
      <c r="T10" s="284"/>
    </row>
    <row r="11" spans="2:21" ht="22" customHeight="1" x14ac:dyDescent="0.15">
      <c r="B11" s="26" t="str">
        <f>IF(E11="","",IF(E11&gt;2,1,0))</f>
        <v/>
      </c>
      <c r="C11" s="261" t="str">
        <f>IF(E11="","",SUM(B11:B17))</f>
        <v/>
      </c>
      <c r="D11" s="262"/>
      <c r="E11" s="58"/>
      <c r="F11" s="266"/>
      <c r="G11" s="267"/>
      <c r="H11" s="58"/>
      <c r="I11" s="288" t="str">
        <f>IF(H11="","",SUM(K11:K17))</f>
        <v/>
      </c>
      <c r="J11" s="261"/>
      <c r="K11" s="44" t="str">
        <f>IF(H11="","",IF(H11&gt;2,1,0))</f>
        <v/>
      </c>
      <c r="L11" s="26">
        <f>IF(O11="","",IF(O11&gt;2,1,0))</f>
        <v>1</v>
      </c>
      <c r="M11" s="261">
        <f>IF(O11="","",SUM(L11:L17))</f>
        <v>4</v>
      </c>
      <c r="N11" s="262"/>
      <c r="O11" s="58">
        <v>5</v>
      </c>
      <c r="P11" s="266"/>
      <c r="Q11" s="267"/>
      <c r="R11" s="58"/>
      <c r="S11" s="288" t="str">
        <f>IF(R11="","",SUM(U11:U17))</f>
        <v/>
      </c>
      <c r="T11" s="261"/>
      <c r="U11" s="44" t="str">
        <f t="shared" ref="U11:U17" si="0">IF(R11="","",IF(R11&gt;2,1,0))</f>
        <v/>
      </c>
    </row>
    <row r="12" spans="2:21" ht="22" customHeight="1" x14ac:dyDescent="0.15">
      <c r="B12" s="26" t="str">
        <f t="shared" ref="B12:B17" si="1">IF(E12="","",IF(E12&gt;2,1,0))</f>
        <v/>
      </c>
      <c r="C12" s="263"/>
      <c r="D12" s="264"/>
      <c r="E12" s="59"/>
      <c r="F12" s="257"/>
      <c r="G12" s="258"/>
      <c r="H12" s="59"/>
      <c r="I12" s="289"/>
      <c r="J12" s="263"/>
      <c r="K12" s="44" t="str">
        <f t="shared" ref="K12:K17" si="2">IF(H12="","",IF(H12&gt;2,1,0))</f>
        <v/>
      </c>
      <c r="L12" s="26">
        <f t="shared" ref="L12:L17" si="3">IF(O12="","",IF(O12&gt;2,1,0))</f>
        <v>1</v>
      </c>
      <c r="M12" s="263"/>
      <c r="N12" s="264"/>
      <c r="O12" s="59">
        <v>5</v>
      </c>
      <c r="P12" s="257"/>
      <c r="Q12" s="258"/>
      <c r="R12" s="59"/>
      <c r="S12" s="289"/>
      <c r="T12" s="263"/>
      <c r="U12" s="44" t="str">
        <f t="shared" si="0"/>
        <v/>
      </c>
    </row>
    <row r="13" spans="2:21" ht="22" customHeight="1" x14ac:dyDescent="0.15">
      <c r="B13" s="26" t="str">
        <f t="shared" si="1"/>
        <v/>
      </c>
      <c r="C13" s="263"/>
      <c r="D13" s="264"/>
      <c r="E13" s="59"/>
      <c r="F13" s="257"/>
      <c r="G13" s="258"/>
      <c r="H13" s="59"/>
      <c r="I13" s="289"/>
      <c r="J13" s="263"/>
      <c r="K13" s="44" t="str">
        <f t="shared" si="2"/>
        <v/>
      </c>
      <c r="L13" s="26">
        <f t="shared" si="3"/>
        <v>1</v>
      </c>
      <c r="M13" s="263"/>
      <c r="N13" s="264"/>
      <c r="O13" s="59">
        <v>5</v>
      </c>
      <c r="P13" s="257"/>
      <c r="Q13" s="258"/>
      <c r="R13" s="59"/>
      <c r="S13" s="289"/>
      <c r="T13" s="263"/>
      <c r="U13" s="44" t="str">
        <f t="shared" si="0"/>
        <v/>
      </c>
    </row>
    <row r="14" spans="2:21" ht="22" customHeight="1" x14ac:dyDescent="0.15">
      <c r="B14" s="26" t="str">
        <f t="shared" si="1"/>
        <v/>
      </c>
      <c r="C14" s="263"/>
      <c r="D14" s="264"/>
      <c r="E14" s="59"/>
      <c r="F14" s="257"/>
      <c r="G14" s="258"/>
      <c r="H14" s="59"/>
      <c r="I14" s="289"/>
      <c r="J14" s="263"/>
      <c r="K14" s="44" t="str">
        <f t="shared" si="2"/>
        <v/>
      </c>
      <c r="L14" s="26">
        <f t="shared" si="3"/>
        <v>1</v>
      </c>
      <c r="M14" s="263"/>
      <c r="N14" s="264"/>
      <c r="O14" s="59">
        <v>5</v>
      </c>
      <c r="P14" s="257"/>
      <c r="Q14" s="258"/>
      <c r="R14" s="59"/>
      <c r="S14" s="289"/>
      <c r="T14" s="263"/>
      <c r="U14" s="44" t="str">
        <f t="shared" si="0"/>
        <v/>
      </c>
    </row>
    <row r="15" spans="2:21" ht="22" customHeight="1" x14ac:dyDescent="0.15">
      <c r="B15" s="26" t="str">
        <f t="shared" si="1"/>
        <v/>
      </c>
      <c r="C15" s="263"/>
      <c r="D15" s="264"/>
      <c r="E15" s="59"/>
      <c r="F15" s="257"/>
      <c r="G15" s="258"/>
      <c r="H15" s="59"/>
      <c r="I15" s="289"/>
      <c r="J15" s="263"/>
      <c r="K15" s="44" t="str">
        <f t="shared" si="2"/>
        <v/>
      </c>
      <c r="L15" s="26" t="str">
        <f t="shared" si="3"/>
        <v/>
      </c>
      <c r="M15" s="263"/>
      <c r="N15" s="264"/>
      <c r="O15" s="59"/>
      <c r="P15" s="257"/>
      <c r="Q15" s="258"/>
      <c r="R15" s="59"/>
      <c r="S15" s="289"/>
      <c r="T15" s="263"/>
      <c r="U15" s="44" t="str">
        <f t="shared" si="0"/>
        <v/>
      </c>
    </row>
    <row r="16" spans="2:21" ht="22" customHeight="1" x14ac:dyDescent="0.15">
      <c r="B16" s="26" t="str">
        <f t="shared" si="1"/>
        <v/>
      </c>
      <c r="C16" s="263"/>
      <c r="D16" s="264"/>
      <c r="E16" s="59"/>
      <c r="F16" s="257"/>
      <c r="G16" s="258"/>
      <c r="H16" s="59"/>
      <c r="I16" s="289"/>
      <c r="J16" s="263"/>
      <c r="K16" s="44" t="str">
        <f t="shared" si="2"/>
        <v/>
      </c>
      <c r="L16" s="26" t="str">
        <f t="shared" si="3"/>
        <v/>
      </c>
      <c r="M16" s="263"/>
      <c r="N16" s="264"/>
      <c r="O16" s="59"/>
      <c r="P16" s="257"/>
      <c r="Q16" s="258"/>
      <c r="R16" s="59"/>
      <c r="S16" s="289"/>
      <c r="T16" s="263"/>
      <c r="U16" s="44" t="str">
        <f t="shared" si="0"/>
        <v/>
      </c>
    </row>
    <row r="17" spans="2:21" ht="22" customHeight="1" thickBot="1" x14ac:dyDescent="0.2">
      <c r="B17" s="26" t="str">
        <f t="shared" si="1"/>
        <v/>
      </c>
      <c r="C17" s="263"/>
      <c r="D17" s="264"/>
      <c r="E17" s="60"/>
      <c r="F17" s="257"/>
      <c r="G17" s="258"/>
      <c r="H17" s="60"/>
      <c r="I17" s="289"/>
      <c r="J17" s="263"/>
      <c r="K17" s="44" t="str">
        <f t="shared" si="2"/>
        <v/>
      </c>
      <c r="L17" s="26" t="str">
        <f t="shared" si="3"/>
        <v/>
      </c>
      <c r="M17" s="263"/>
      <c r="N17" s="264"/>
      <c r="O17" s="60"/>
      <c r="P17" s="257"/>
      <c r="Q17" s="258"/>
      <c r="R17" s="60"/>
      <c r="S17" s="289"/>
      <c r="T17" s="263"/>
      <c r="U17" s="44" t="str">
        <f t="shared" si="0"/>
        <v/>
      </c>
    </row>
    <row r="18" spans="2:21" ht="30" customHeight="1" thickBot="1" x14ac:dyDescent="0.2"/>
    <row r="19" spans="2:21" s="24" customFormat="1" ht="28" customHeight="1" thickBot="1" x14ac:dyDescent="0.2">
      <c r="C19" s="285" t="str">
        <f>'Clb Q'!I26</f>
        <v/>
      </c>
      <c r="D19" s="286"/>
      <c r="E19" s="287"/>
      <c r="F19" s="259" t="s">
        <v>43</v>
      </c>
      <c r="G19" s="260"/>
      <c r="H19" s="285" t="str">
        <f>'Clb Q'!C26</f>
        <v/>
      </c>
      <c r="I19" s="286"/>
      <c r="J19" s="287"/>
      <c r="M19" s="285" t="str">
        <f>'Clb Q'!I10</f>
        <v/>
      </c>
      <c r="N19" s="286"/>
      <c r="O19" s="287"/>
      <c r="P19" s="259" t="s">
        <v>43</v>
      </c>
      <c r="Q19" s="260"/>
      <c r="R19" s="285" t="e">
        <f>'Clb Q'!C10</f>
        <v>#N/A</v>
      </c>
      <c r="S19" s="286"/>
      <c r="T19" s="287"/>
    </row>
    <row r="20" spans="2:21" s="25" customFormat="1" ht="22" customHeight="1" outlineLevel="1" x14ac:dyDescent="0.15">
      <c r="C20" s="282" t="str">
        <f>'Clb Q'!H28</f>
        <v/>
      </c>
      <c r="D20" s="283"/>
      <c r="E20" s="284"/>
      <c r="F20" s="107">
        <v>11</v>
      </c>
      <c r="G20" s="108">
        <v>12</v>
      </c>
      <c r="H20" s="282" t="str">
        <f>'Clb Q'!B28</f>
        <v/>
      </c>
      <c r="I20" s="283"/>
      <c r="J20" s="284"/>
      <c r="M20" s="282" t="str">
        <f>'Clb Q'!H12</f>
        <v/>
      </c>
      <c r="N20" s="283"/>
      <c r="O20" s="284"/>
      <c r="P20" s="107">
        <v>11</v>
      </c>
      <c r="Q20" s="108">
        <v>12</v>
      </c>
      <c r="R20" s="282" t="e">
        <f>'Clb Q'!B12</f>
        <v>#N/A</v>
      </c>
      <c r="S20" s="283"/>
      <c r="T20" s="284"/>
    </row>
    <row r="21" spans="2:21" s="25" customFormat="1" ht="22" customHeight="1" outlineLevel="1" x14ac:dyDescent="0.15">
      <c r="C21" s="282" t="str">
        <f>'Clb Q'!H29</f>
        <v/>
      </c>
      <c r="D21" s="283"/>
      <c r="E21" s="284"/>
      <c r="F21" s="109">
        <v>13</v>
      </c>
      <c r="G21" s="110">
        <v>14</v>
      </c>
      <c r="H21" s="282" t="str">
        <f>'Clb Q'!B29</f>
        <v/>
      </c>
      <c r="I21" s="283"/>
      <c r="J21" s="284"/>
      <c r="M21" s="282" t="str">
        <f>'Clb Q'!H13</f>
        <v/>
      </c>
      <c r="N21" s="283"/>
      <c r="O21" s="284"/>
      <c r="P21" s="109">
        <v>13</v>
      </c>
      <c r="Q21" s="110">
        <v>14</v>
      </c>
      <c r="R21" s="282" t="e">
        <f>'Clb Q'!B13</f>
        <v>#N/A</v>
      </c>
      <c r="S21" s="283"/>
      <c r="T21" s="284"/>
    </row>
    <row r="22" spans="2:21" s="25" customFormat="1" ht="22" customHeight="1" outlineLevel="1" x14ac:dyDescent="0.15">
      <c r="C22" s="282" t="str">
        <f>'Clb Q'!H30</f>
        <v/>
      </c>
      <c r="D22" s="283"/>
      <c r="E22" s="284"/>
      <c r="F22" s="109">
        <v>15</v>
      </c>
      <c r="G22" s="110">
        <v>16</v>
      </c>
      <c r="H22" s="282" t="str">
        <f>'Clb Q'!B30</f>
        <v/>
      </c>
      <c r="I22" s="283"/>
      <c r="J22" s="284"/>
      <c r="M22" s="282" t="str">
        <f>'Clb Q'!H14</f>
        <v/>
      </c>
      <c r="N22" s="283"/>
      <c r="O22" s="284"/>
      <c r="P22" s="109">
        <v>15</v>
      </c>
      <c r="Q22" s="110">
        <v>16</v>
      </c>
      <c r="R22" s="282" t="e">
        <f>'Clb Q'!B14</f>
        <v>#N/A</v>
      </c>
      <c r="S22" s="283"/>
      <c r="T22" s="284"/>
    </row>
    <row r="23" spans="2:21" s="25" customFormat="1" ht="22" customHeight="1" outlineLevel="1" x14ac:dyDescent="0.15">
      <c r="C23" s="282" t="str">
        <f>'Clb Q'!H31</f>
        <v/>
      </c>
      <c r="D23" s="283"/>
      <c r="E23" s="284"/>
      <c r="F23" s="109">
        <v>17</v>
      </c>
      <c r="G23" s="110">
        <v>18</v>
      </c>
      <c r="H23" s="282" t="str">
        <f>'Clb Q'!B31</f>
        <v/>
      </c>
      <c r="I23" s="283"/>
      <c r="J23" s="284"/>
      <c r="M23" s="282" t="str">
        <f>'Clb Q'!H15</f>
        <v/>
      </c>
      <c r="N23" s="283"/>
      <c r="O23" s="284"/>
      <c r="P23" s="109">
        <v>17</v>
      </c>
      <c r="Q23" s="110">
        <v>18</v>
      </c>
      <c r="R23" s="282" t="e">
        <f>'Clb Q'!B15</f>
        <v>#N/A</v>
      </c>
      <c r="S23" s="283"/>
      <c r="T23" s="284"/>
    </row>
    <row r="24" spans="2:21" s="25" customFormat="1" ht="22" customHeight="1" outlineLevel="1" thickBot="1" x14ac:dyDescent="0.2">
      <c r="C24" s="282" t="str">
        <f>'Clb Q'!H32</f>
        <v/>
      </c>
      <c r="D24" s="283"/>
      <c r="E24" s="284"/>
      <c r="F24" s="111">
        <v>19</v>
      </c>
      <c r="G24" s="112">
        <v>20</v>
      </c>
      <c r="H24" s="282" t="str">
        <f>'Clb Q'!B32</f>
        <v/>
      </c>
      <c r="I24" s="283"/>
      <c r="J24" s="284"/>
      <c r="M24" s="282" t="str">
        <f>'Clb Q'!H16</f>
        <v/>
      </c>
      <c r="N24" s="283"/>
      <c r="O24" s="284"/>
      <c r="P24" s="111">
        <v>19</v>
      </c>
      <c r="Q24" s="112">
        <v>20</v>
      </c>
      <c r="R24" s="282" t="e">
        <f>'Clb Q'!B16</f>
        <v>#N/A</v>
      </c>
      <c r="S24" s="283"/>
      <c r="T24" s="284"/>
    </row>
    <row r="25" spans="2:21" ht="22" customHeight="1" x14ac:dyDescent="0.15">
      <c r="B25" s="26" t="str">
        <f>IF(E25="","",IF(E25&gt;2,1,0))</f>
        <v/>
      </c>
      <c r="C25" s="261" t="str">
        <f>IF(E25="","",SUM(B25:B31))</f>
        <v/>
      </c>
      <c r="D25" s="262"/>
      <c r="E25" s="58"/>
      <c r="F25" s="266"/>
      <c r="G25" s="267"/>
      <c r="H25" s="58"/>
      <c r="I25" s="288" t="str">
        <f>IF(H25="","",SUM(K25:K31))</f>
        <v/>
      </c>
      <c r="J25" s="261"/>
      <c r="K25" s="44" t="str">
        <f>IF(H25="","",IF(H25&gt;2,1,0))</f>
        <v/>
      </c>
      <c r="L25" s="26">
        <f>IF(O25="","",IF(O25&gt;2,1,0))</f>
        <v>0</v>
      </c>
      <c r="M25" s="261">
        <f>IF(O25="","",SUM(L25:L31))</f>
        <v>0</v>
      </c>
      <c r="N25" s="262"/>
      <c r="O25" s="58">
        <v>0</v>
      </c>
      <c r="P25" s="266"/>
      <c r="Q25" s="267"/>
      <c r="R25" s="58"/>
      <c r="S25" s="288" t="str">
        <f>IF(R25="","",SUM(U25:U31))</f>
        <v/>
      </c>
      <c r="T25" s="261"/>
      <c r="U25" s="44" t="str">
        <f>IF(R25="","",IF(R25&gt;2,1,0))</f>
        <v/>
      </c>
    </row>
    <row r="26" spans="2:21" ht="22" customHeight="1" x14ac:dyDescent="0.15">
      <c r="B26" s="26" t="str">
        <f t="shared" ref="B26:B31" si="4">IF(E26="","",IF(E26&gt;2,1,0))</f>
        <v/>
      </c>
      <c r="C26" s="263"/>
      <c r="D26" s="264"/>
      <c r="E26" s="59"/>
      <c r="F26" s="257"/>
      <c r="G26" s="258"/>
      <c r="H26" s="59"/>
      <c r="I26" s="289"/>
      <c r="J26" s="263"/>
      <c r="K26" s="44" t="str">
        <f t="shared" ref="K26:K31" si="5">IF(H26="","",IF(H26&gt;2,1,0))</f>
        <v/>
      </c>
      <c r="L26" s="26">
        <f t="shared" ref="L26:L31" si="6">IF(O26="","",IF(O26&gt;2,1,0))</f>
        <v>0</v>
      </c>
      <c r="M26" s="263"/>
      <c r="N26" s="264"/>
      <c r="O26" s="59">
        <v>0</v>
      </c>
      <c r="P26" s="257"/>
      <c r="Q26" s="258"/>
      <c r="R26" s="59"/>
      <c r="S26" s="289"/>
      <c r="T26" s="263"/>
      <c r="U26" s="44" t="str">
        <f t="shared" ref="U26:U31" si="7">IF(R26="","",IF(R26&gt;2,1,0))</f>
        <v/>
      </c>
    </row>
    <row r="27" spans="2:21" ht="22" customHeight="1" x14ac:dyDescent="0.15">
      <c r="B27" s="26" t="str">
        <f t="shared" si="4"/>
        <v/>
      </c>
      <c r="C27" s="263"/>
      <c r="D27" s="264"/>
      <c r="E27" s="59"/>
      <c r="F27" s="257"/>
      <c r="G27" s="258"/>
      <c r="H27" s="59"/>
      <c r="I27" s="289"/>
      <c r="J27" s="263"/>
      <c r="K27" s="44" t="str">
        <f t="shared" si="5"/>
        <v/>
      </c>
      <c r="L27" s="26">
        <f t="shared" si="6"/>
        <v>0</v>
      </c>
      <c r="M27" s="263"/>
      <c r="N27" s="264"/>
      <c r="O27" s="59">
        <v>0</v>
      </c>
      <c r="P27" s="257"/>
      <c r="Q27" s="258"/>
      <c r="R27" s="59"/>
      <c r="S27" s="289"/>
      <c r="T27" s="263"/>
      <c r="U27" s="44" t="str">
        <f t="shared" si="7"/>
        <v/>
      </c>
    </row>
    <row r="28" spans="2:21" ht="22" customHeight="1" x14ac:dyDescent="0.15">
      <c r="B28" s="26" t="str">
        <f t="shared" si="4"/>
        <v/>
      </c>
      <c r="C28" s="263"/>
      <c r="D28" s="264"/>
      <c r="E28" s="59"/>
      <c r="F28" s="257"/>
      <c r="G28" s="258"/>
      <c r="H28" s="59"/>
      <c r="I28" s="289"/>
      <c r="J28" s="263"/>
      <c r="K28" s="44" t="str">
        <f t="shared" si="5"/>
        <v/>
      </c>
      <c r="L28" s="26">
        <f t="shared" si="6"/>
        <v>0</v>
      </c>
      <c r="M28" s="263"/>
      <c r="N28" s="264"/>
      <c r="O28" s="59">
        <v>0</v>
      </c>
      <c r="P28" s="257"/>
      <c r="Q28" s="258"/>
      <c r="R28" s="59"/>
      <c r="S28" s="289"/>
      <c r="T28" s="263"/>
      <c r="U28" s="44" t="str">
        <f t="shared" si="7"/>
        <v/>
      </c>
    </row>
    <row r="29" spans="2:21" ht="22" customHeight="1" x14ac:dyDescent="0.15">
      <c r="B29" s="26" t="str">
        <f t="shared" si="4"/>
        <v/>
      </c>
      <c r="C29" s="263"/>
      <c r="D29" s="264"/>
      <c r="E29" s="59"/>
      <c r="F29" s="257"/>
      <c r="G29" s="258"/>
      <c r="H29" s="59"/>
      <c r="I29" s="289"/>
      <c r="J29" s="263"/>
      <c r="K29" s="44" t="str">
        <f t="shared" si="5"/>
        <v/>
      </c>
      <c r="L29" s="26" t="str">
        <f t="shared" si="6"/>
        <v/>
      </c>
      <c r="M29" s="263"/>
      <c r="N29" s="264"/>
      <c r="O29" s="59"/>
      <c r="P29" s="257"/>
      <c r="Q29" s="258"/>
      <c r="R29" s="59"/>
      <c r="S29" s="289"/>
      <c r="T29" s="263"/>
      <c r="U29" s="44" t="str">
        <f t="shared" si="7"/>
        <v/>
      </c>
    </row>
    <row r="30" spans="2:21" ht="22" customHeight="1" x14ac:dyDescent="0.15">
      <c r="B30" s="26" t="str">
        <f t="shared" si="4"/>
        <v/>
      </c>
      <c r="C30" s="263"/>
      <c r="D30" s="264"/>
      <c r="E30" s="59"/>
      <c r="F30" s="257"/>
      <c r="G30" s="258"/>
      <c r="H30" s="59"/>
      <c r="I30" s="289"/>
      <c r="J30" s="263"/>
      <c r="K30" s="44" t="str">
        <f t="shared" si="5"/>
        <v/>
      </c>
      <c r="L30" s="26" t="str">
        <f t="shared" si="6"/>
        <v/>
      </c>
      <c r="M30" s="263"/>
      <c r="N30" s="264"/>
      <c r="O30" s="59"/>
      <c r="P30" s="257"/>
      <c r="Q30" s="258"/>
      <c r="R30" s="59"/>
      <c r="S30" s="289"/>
      <c r="T30" s="263"/>
      <c r="U30" s="44" t="str">
        <f t="shared" si="7"/>
        <v/>
      </c>
    </row>
    <row r="31" spans="2:21" ht="22" customHeight="1" thickBot="1" x14ac:dyDescent="0.2">
      <c r="B31" s="26" t="str">
        <f t="shared" si="4"/>
        <v/>
      </c>
      <c r="C31" s="263"/>
      <c r="D31" s="264"/>
      <c r="E31" s="60"/>
      <c r="F31" s="257"/>
      <c r="G31" s="258"/>
      <c r="H31" s="60"/>
      <c r="I31" s="289"/>
      <c r="J31" s="263"/>
      <c r="K31" s="44" t="str">
        <f t="shared" si="5"/>
        <v/>
      </c>
      <c r="L31" s="26" t="str">
        <f t="shared" si="6"/>
        <v/>
      </c>
      <c r="M31" s="263"/>
      <c r="N31" s="264"/>
      <c r="O31" s="60"/>
      <c r="P31" s="257"/>
      <c r="Q31" s="258"/>
      <c r="R31" s="60"/>
      <c r="S31" s="289"/>
      <c r="T31" s="263"/>
      <c r="U31" s="44" t="str">
        <f t="shared" si="7"/>
        <v/>
      </c>
    </row>
    <row r="32" spans="2:21" ht="400" hidden="1" customHeight="1" outlineLevel="1" x14ac:dyDescent="0.15"/>
    <row r="33" spans="2:21" ht="100" hidden="1" customHeight="1" outlineLevel="1" x14ac:dyDescent="0.15"/>
    <row r="34" spans="2:21" ht="60" customHeight="1" collapsed="1" thickBot="1" x14ac:dyDescent="0.2">
      <c r="B34" s="268" t="s">
        <v>0</v>
      </c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</row>
    <row r="35" spans="2:21" s="24" customFormat="1" ht="28" customHeight="1" thickBot="1" x14ac:dyDescent="0.2">
      <c r="C35" s="293">
        <f>IF(H5="",C5,IF(C11="","",IF(I11="","",IF(C11&gt;3,C5,IF(I11&gt;3,H5,"")))))</f>
        <v>0</v>
      </c>
      <c r="D35" s="294"/>
      <c r="E35" s="295"/>
      <c r="F35" s="259" t="s">
        <v>43</v>
      </c>
      <c r="G35" s="260"/>
      <c r="H35" s="293" t="str">
        <f>IF(C19="",H19,IF(C25="","",IF(I25="","",IF(C25&gt;3,C19,IF(I25&gt;3,H19,"")))))</f>
        <v/>
      </c>
      <c r="I35" s="294"/>
      <c r="J35" s="295"/>
      <c r="K35" s="23"/>
      <c r="M35" s="293" t="str">
        <f>IF(R5="",M5,IF(M11="","",IF(S11="","",IF(M11&gt;3,M5,IF(S11&gt;3,R5,"")))))</f>
        <v/>
      </c>
      <c r="N35" s="294"/>
      <c r="O35" s="295"/>
      <c r="P35" s="259" t="s">
        <v>43</v>
      </c>
      <c r="Q35" s="260"/>
      <c r="R35" s="293" t="e">
        <f>IF(M19="",R19,IF(M25="","",IF(S25="","",IF(M25&gt;3,M19,IF(S25&gt;3,R19,"")))))</f>
        <v>#N/A</v>
      </c>
      <c r="S35" s="294"/>
      <c r="T35" s="295"/>
    </row>
    <row r="36" spans="2:21" s="25" customFormat="1" ht="22" customHeight="1" outlineLevel="1" x14ac:dyDescent="0.15">
      <c r="C36" s="269">
        <f>IF(H6="",C6,IF(C11="","",IF(I11="","",IF(C11&gt;3,C6,IF(I11&gt;3,H6,"")))))</f>
        <v>0</v>
      </c>
      <c r="D36" s="270"/>
      <c r="E36" s="271"/>
      <c r="F36" s="113">
        <v>1</v>
      </c>
      <c r="G36" s="114">
        <v>2</v>
      </c>
      <c r="H36" s="269" t="str">
        <f>IF(C20="",H20,IF(C25="","",IF(I25="","",IF(C25&gt;3,C20,IF(I25&gt;3,H20,"")))))</f>
        <v/>
      </c>
      <c r="I36" s="270"/>
      <c r="J36" s="271"/>
      <c r="K36" s="23"/>
      <c r="M36" s="269" t="str">
        <f>IF(R6="",M6,IF(M11="","",IF(S11="","",IF(M11&gt;3,M6,IF(S11&gt;3,R6,"")))))</f>
        <v/>
      </c>
      <c r="N36" s="270"/>
      <c r="O36" s="271"/>
      <c r="P36" s="113">
        <v>11</v>
      </c>
      <c r="Q36" s="114">
        <v>12</v>
      </c>
      <c r="R36" s="269" t="e">
        <f>IF(M20="",R20,IF(M25="","",IF(S25="","",IF(M25&gt;3,M20,IF(S25&gt;3,R20,"")))))</f>
        <v>#N/A</v>
      </c>
      <c r="S36" s="270"/>
      <c r="T36" s="271"/>
      <c r="U36" s="45"/>
    </row>
    <row r="37" spans="2:21" s="25" customFormat="1" ht="22" customHeight="1" outlineLevel="1" x14ac:dyDescent="0.15">
      <c r="C37" s="269">
        <f>IF(H7="",C7,IF(C11="","",IF(I11="","",IF(C11&gt;3,C7,IF(I11&gt;3,H7,"")))))</f>
        <v>0</v>
      </c>
      <c r="D37" s="270"/>
      <c r="E37" s="271"/>
      <c r="F37" s="115">
        <v>3</v>
      </c>
      <c r="G37" s="116">
        <v>4</v>
      </c>
      <c r="H37" s="269" t="str">
        <f>IF(C21="",H21,IF(C25="","",IF(I25="","",IF(C25&gt;3,C21,IF(I25&gt;3,H21,"")))))</f>
        <v/>
      </c>
      <c r="I37" s="270"/>
      <c r="J37" s="271"/>
      <c r="K37" s="23"/>
      <c r="M37" s="269" t="str">
        <f>IF(R7="",M7,IF(M11="","",IF(S11="","",IF(M11&gt;3,M7,IF(S11&gt;3,R7,"")))))</f>
        <v/>
      </c>
      <c r="N37" s="270"/>
      <c r="O37" s="271"/>
      <c r="P37" s="115">
        <v>13</v>
      </c>
      <c r="Q37" s="116">
        <v>14</v>
      </c>
      <c r="R37" s="269" t="e">
        <f>IF(M21="",R21,IF(M25="","",IF(S25="","",IF(M25&gt;3,M21,IF(S25&gt;3,R21,"")))))</f>
        <v>#N/A</v>
      </c>
      <c r="S37" s="270"/>
      <c r="T37" s="271"/>
      <c r="U37" s="45"/>
    </row>
    <row r="38" spans="2:21" s="25" customFormat="1" ht="22" customHeight="1" outlineLevel="1" x14ac:dyDescent="0.15">
      <c r="C38" s="269">
        <f>IF(H8="",C8,IF(C11="","",IF(I11="","",IF(C11&gt;3,C8,IF(I11&gt;3,H8,"")))))</f>
        <v>0</v>
      </c>
      <c r="D38" s="270"/>
      <c r="E38" s="271"/>
      <c r="F38" s="115">
        <v>5</v>
      </c>
      <c r="G38" s="116">
        <v>6</v>
      </c>
      <c r="H38" s="269" t="str">
        <f>IF(C22="",H22,IF(C25="","",IF(I25="","",IF(C25&gt;3,C22,IF(I25&gt;3,H22,"")))))</f>
        <v/>
      </c>
      <c r="I38" s="270"/>
      <c r="J38" s="271"/>
      <c r="K38" s="23"/>
      <c r="M38" s="269" t="str">
        <f>IF(R8="",M8,IF(M11="","",IF(S11="","",IF(M11&gt;3,M8,IF(S11&gt;3,R8,"")))))</f>
        <v/>
      </c>
      <c r="N38" s="270"/>
      <c r="O38" s="271"/>
      <c r="P38" s="115">
        <v>15</v>
      </c>
      <c r="Q38" s="116">
        <v>16</v>
      </c>
      <c r="R38" s="269" t="e">
        <f>IF(M22="",R22,IF(M25="","",IF(S25="","",IF(M25&gt;3,M22,IF(S25&gt;3,R22,"")))))</f>
        <v>#N/A</v>
      </c>
      <c r="S38" s="270"/>
      <c r="T38" s="271"/>
      <c r="U38" s="45"/>
    </row>
    <row r="39" spans="2:21" s="25" customFormat="1" ht="22" customHeight="1" outlineLevel="1" x14ac:dyDescent="0.15">
      <c r="C39" s="269">
        <f>IF(H9="",C9,IF(C11="","",IF(I11="","",IF(C11&gt;3,C9,IF(I11&gt;3,H9,"")))))</f>
        <v>0</v>
      </c>
      <c r="D39" s="270"/>
      <c r="E39" s="271"/>
      <c r="F39" s="115">
        <v>7</v>
      </c>
      <c r="G39" s="116">
        <v>8</v>
      </c>
      <c r="H39" s="269" t="str">
        <f>IF(C23="",H23,IF(C25="","",IF(I25="","",IF(C25&gt;3,C23,IF(I25&gt;3,H23,"")))))</f>
        <v/>
      </c>
      <c r="I39" s="270"/>
      <c r="J39" s="271"/>
      <c r="K39" s="23"/>
      <c r="M39" s="269" t="str">
        <f>IF(R9="",M9,IF(M11="","",IF(S11="","",IF(M11&gt;3,M9,IF(S11&gt;3,R9,"")))))</f>
        <v/>
      </c>
      <c r="N39" s="270"/>
      <c r="O39" s="271"/>
      <c r="P39" s="115">
        <v>17</v>
      </c>
      <c r="Q39" s="116">
        <v>18</v>
      </c>
      <c r="R39" s="269" t="e">
        <f>IF(M23="",R23,IF(M25="","",IF(S25="","",IF(M25&gt;3,M23,IF(S25&gt;3,R23,"")))))</f>
        <v>#N/A</v>
      </c>
      <c r="S39" s="270"/>
      <c r="T39" s="271"/>
      <c r="U39" s="45"/>
    </row>
    <row r="40" spans="2:21" s="25" customFormat="1" ht="22" customHeight="1" outlineLevel="1" thickBot="1" x14ac:dyDescent="0.2">
      <c r="C40" s="269">
        <f>IF(H10="",C10,IF(C11="","",IF(I11="","",IF(C11&gt;3,C10,IF(I11&gt;3,H10,"")))))</f>
        <v>0</v>
      </c>
      <c r="D40" s="270"/>
      <c r="E40" s="271"/>
      <c r="F40" s="117">
        <v>9</v>
      </c>
      <c r="G40" s="118">
        <v>10</v>
      </c>
      <c r="H40" s="269" t="str">
        <f>IF(C24="",H24,IF(C25="","",IF(I25="","",IF(C25&gt;3,C24,IF(I25&gt;3,H24,"")))))</f>
        <v/>
      </c>
      <c r="I40" s="270"/>
      <c r="J40" s="271"/>
      <c r="K40" s="23"/>
      <c r="M40" s="269" t="str">
        <f>IF(R10="",M10,IF(M11="","",IF(S11="","",IF(M11&gt;3,M10,IF(S11&gt;3,R10,"")))))</f>
        <v/>
      </c>
      <c r="N40" s="270"/>
      <c r="O40" s="271"/>
      <c r="P40" s="117">
        <v>19</v>
      </c>
      <c r="Q40" s="118">
        <v>20</v>
      </c>
      <c r="R40" s="269" t="e">
        <f>IF(M24="",R24,IF(M25="","",IF(S25="","",IF(M25&gt;3,M24,IF(S25&gt;3,R24,"")))))</f>
        <v>#N/A</v>
      </c>
      <c r="S40" s="270"/>
      <c r="T40" s="271"/>
      <c r="U40" s="45"/>
    </row>
    <row r="41" spans="2:21" ht="22" customHeight="1" x14ac:dyDescent="0.15">
      <c r="B41" s="26" t="str">
        <f>IF(E41="","",IF(E41&gt;2,1,0))</f>
        <v/>
      </c>
      <c r="C41" s="261" t="str">
        <f>IF(E41="","",SUM(B41:B47))</f>
        <v/>
      </c>
      <c r="D41" s="262"/>
      <c r="E41" s="58"/>
      <c r="F41" s="266"/>
      <c r="G41" s="267"/>
      <c r="H41" s="58"/>
      <c r="I41" s="288" t="str">
        <f>IF(H41="","",SUM(K41:K47))</f>
        <v/>
      </c>
      <c r="J41" s="261"/>
      <c r="K41" s="44" t="str">
        <f>IF(H41="","",IF(H41&gt;2,1,0))</f>
        <v/>
      </c>
      <c r="L41" s="26" t="str">
        <f>IF(O41="","",IF(O41&gt;2,1,0))</f>
        <v/>
      </c>
      <c r="M41" s="261" t="str">
        <f>IF(O41="","",SUM(L41:L47))</f>
        <v/>
      </c>
      <c r="N41" s="262"/>
      <c r="O41" s="58"/>
      <c r="P41" s="266"/>
      <c r="Q41" s="267"/>
      <c r="R41" s="58"/>
      <c r="S41" s="288" t="str">
        <f>IF(R41="","",SUM(U41:U47))</f>
        <v/>
      </c>
      <c r="T41" s="261"/>
      <c r="U41" s="44" t="str">
        <f>IF(R41="","",IF(R41&gt;2,1,0))</f>
        <v/>
      </c>
    </row>
    <row r="42" spans="2:21" ht="22" customHeight="1" x14ac:dyDescent="0.15">
      <c r="B42" s="26" t="str">
        <f t="shared" ref="B42:B47" si="8">IF(E42="","",IF(E42&gt;2,1,0))</f>
        <v/>
      </c>
      <c r="C42" s="263"/>
      <c r="D42" s="264"/>
      <c r="E42" s="59"/>
      <c r="F42" s="257"/>
      <c r="G42" s="258"/>
      <c r="H42" s="59"/>
      <c r="I42" s="289"/>
      <c r="J42" s="263"/>
      <c r="K42" s="44" t="str">
        <f t="shared" ref="K42:K47" si="9">IF(H42="","",IF(H42&gt;2,1,0))</f>
        <v/>
      </c>
      <c r="L42" s="26" t="str">
        <f t="shared" ref="L42:L47" si="10">IF(O42="","",IF(O42&gt;2,1,0))</f>
        <v/>
      </c>
      <c r="M42" s="263"/>
      <c r="N42" s="264"/>
      <c r="O42" s="59"/>
      <c r="P42" s="257"/>
      <c r="Q42" s="258"/>
      <c r="R42" s="59"/>
      <c r="S42" s="289"/>
      <c r="T42" s="263"/>
      <c r="U42" s="44" t="str">
        <f t="shared" ref="U42:U47" si="11">IF(R42="","",IF(R42&gt;2,1,0))</f>
        <v/>
      </c>
    </row>
    <row r="43" spans="2:21" ht="22" customHeight="1" x14ac:dyDescent="0.15">
      <c r="B43" s="26" t="str">
        <f t="shared" si="8"/>
        <v/>
      </c>
      <c r="C43" s="263"/>
      <c r="D43" s="264"/>
      <c r="E43" s="59"/>
      <c r="F43" s="257"/>
      <c r="G43" s="258"/>
      <c r="H43" s="59"/>
      <c r="I43" s="289"/>
      <c r="J43" s="263"/>
      <c r="K43" s="44" t="str">
        <f t="shared" si="9"/>
        <v/>
      </c>
      <c r="L43" s="26" t="str">
        <f t="shared" si="10"/>
        <v/>
      </c>
      <c r="M43" s="263"/>
      <c r="N43" s="264"/>
      <c r="O43" s="59"/>
      <c r="P43" s="257"/>
      <c r="Q43" s="258"/>
      <c r="R43" s="59"/>
      <c r="S43" s="289"/>
      <c r="T43" s="263"/>
      <c r="U43" s="44" t="str">
        <f t="shared" si="11"/>
        <v/>
      </c>
    </row>
    <row r="44" spans="2:21" ht="22" customHeight="1" x14ac:dyDescent="0.15">
      <c r="B44" s="26" t="str">
        <f t="shared" si="8"/>
        <v/>
      </c>
      <c r="C44" s="263"/>
      <c r="D44" s="264"/>
      <c r="E44" s="59"/>
      <c r="F44" s="257"/>
      <c r="G44" s="258"/>
      <c r="H44" s="59"/>
      <c r="I44" s="289"/>
      <c r="J44" s="263"/>
      <c r="K44" s="44" t="str">
        <f t="shared" si="9"/>
        <v/>
      </c>
      <c r="L44" s="26" t="str">
        <f t="shared" si="10"/>
        <v/>
      </c>
      <c r="M44" s="263"/>
      <c r="N44" s="264"/>
      <c r="O44" s="59"/>
      <c r="P44" s="257"/>
      <c r="Q44" s="258"/>
      <c r="R44" s="59"/>
      <c r="S44" s="289"/>
      <c r="T44" s="263"/>
      <c r="U44" s="44" t="str">
        <f t="shared" si="11"/>
        <v/>
      </c>
    </row>
    <row r="45" spans="2:21" ht="22" customHeight="1" x14ac:dyDescent="0.15">
      <c r="B45" s="26" t="str">
        <f t="shared" si="8"/>
        <v/>
      </c>
      <c r="C45" s="263"/>
      <c r="D45" s="264"/>
      <c r="E45" s="59"/>
      <c r="F45" s="257"/>
      <c r="G45" s="258"/>
      <c r="H45" s="59"/>
      <c r="I45" s="289"/>
      <c r="J45" s="263"/>
      <c r="K45" s="44" t="str">
        <f t="shared" si="9"/>
        <v/>
      </c>
      <c r="L45" s="26" t="str">
        <f t="shared" si="10"/>
        <v/>
      </c>
      <c r="M45" s="263"/>
      <c r="N45" s="264"/>
      <c r="O45" s="59"/>
      <c r="P45" s="257"/>
      <c r="Q45" s="258"/>
      <c r="R45" s="59"/>
      <c r="S45" s="289"/>
      <c r="T45" s="263"/>
      <c r="U45" s="44" t="str">
        <f t="shared" si="11"/>
        <v/>
      </c>
    </row>
    <row r="46" spans="2:21" ht="22" customHeight="1" x14ac:dyDescent="0.15">
      <c r="B46" s="26" t="str">
        <f t="shared" si="8"/>
        <v/>
      </c>
      <c r="C46" s="263"/>
      <c r="D46" s="264"/>
      <c r="E46" s="59"/>
      <c r="F46" s="257"/>
      <c r="G46" s="258"/>
      <c r="H46" s="59"/>
      <c r="I46" s="289"/>
      <c r="J46" s="263"/>
      <c r="K46" s="44" t="str">
        <f t="shared" si="9"/>
        <v/>
      </c>
      <c r="L46" s="26" t="str">
        <f t="shared" si="10"/>
        <v/>
      </c>
      <c r="M46" s="263"/>
      <c r="N46" s="264"/>
      <c r="O46" s="59"/>
      <c r="P46" s="257"/>
      <c r="Q46" s="258"/>
      <c r="R46" s="59"/>
      <c r="S46" s="289"/>
      <c r="T46" s="263"/>
      <c r="U46" s="44" t="str">
        <f t="shared" si="11"/>
        <v/>
      </c>
    </row>
    <row r="47" spans="2:21" ht="22" customHeight="1" thickBot="1" x14ac:dyDescent="0.2">
      <c r="B47" s="26" t="str">
        <f t="shared" si="8"/>
        <v/>
      </c>
      <c r="C47" s="263"/>
      <c r="D47" s="264"/>
      <c r="E47" s="60"/>
      <c r="F47" s="257"/>
      <c r="G47" s="258"/>
      <c r="H47" s="60"/>
      <c r="I47" s="289"/>
      <c r="J47" s="263"/>
      <c r="K47" s="44" t="str">
        <f t="shared" si="9"/>
        <v/>
      </c>
      <c r="L47" s="26" t="str">
        <f t="shared" si="10"/>
        <v/>
      </c>
      <c r="M47" s="263"/>
      <c r="N47" s="264"/>
      <c r="O47" s="60"/>
      <c r="P47" s="257"/>
      <c r="Q47" s="258"/>
      <c r="R47" s="60"/>
      <c r="S47" s="289"/>
      <c r="T47" s="263"/>
      <c r="U47" s="44" t="str">
        <f t="shared" si="11"/>
        <v/>
      </c>
    </row>
    <row r="48" spans="2:21" ht="300" hidden="1" customHeight="1" outlineLevel="1" x14ac:dyDescent="0.15"/>
    <row r="49" spans="6:17" ht="300" hidden="1" customHeight="1" outlineLevel="1" x14ac:dyDescent="0.15"/>
    <row r="50" spans="6:17" ht="59" customHeight="1" collapsed="1" thickBot="1" x14ac:dyDescent="0.2">
      <c r="H50" s="268" t="s">
        <v>39</v>
      </c>
      <c r="I50" s="268"/>
      <c r="J50" s="268"/>
      <c r="K50" s="268"/>
      <c r="L50" s="268"/>
      <c r="M50" s="268"/>
      <c r="N50" s="268"/>
      <c r="O50" s="268"/>
      <c r="P50" s="43"/>
    </row>
    <row r="51" spans="6:17" s="24" customFormat="1" ht="28" customHeight="1" thickBot="1" x14ac:dyDescent="0.2">
      <c r="F51" s="255"/>
      <c r="G51" s="256"/>
      <c r="H51" s="290" t="str">
        <f>IF(C41="","",IF(I41="","",IF(C41&gt;3,H35,IF(I41&gt;3,C35,""))))</f>
        <v/>
      </c>
      <c r="I51" s="291"/>
      <c r="J51" s="292"/>
      <c r="K51" s="259" t="s">
        <v>43</v>
      </c>
      <c r="L51" s="260"/>
      <c r="M51" s="290" t="str">
        <f>IF(M41="","",IF(S41="","",IF(M41&gt;3,R35,IF(S41&gt;3,M35,""))))</f>
        <v/>
      </c>
      <c r="N51" s="291"/>
      <c r="O51" s="292"/>
      <c r="P51" s="265"/>
      <c r="Q51" s="255"/>
    </row>
    <row r="52" spans="6:17" s="25" customFormat="1" ht="22" customHeight="1" outlineLevel="1" x14ac:dyDescent="0.15">
      <c r="F52" s="255"/>
      <c r="G52" s="256"/>
      <c r="H52" s="275" t="str">
        <f>IF(C41="","",IF(I41="","",IF(C41&gt;3,H36,IF(I41&gt;3,C36,""))))</f>
        <v/>
      </c>
      <c r="I52" s="276"/>
      <c r="J52" s="277"/>
      <c r="K52" s="119">
        <v>1</v>
      </c>
      <c r="L52" s="120">
        <v>2</v>
      </c>
      <c r="M52" s="275" t="str">
        <f>IF(M41="","",IF(S41="","",IF(M41&gt;3,R36,IF(S41&gt;3,M36,""))))</f>
        <v/>
      </c>
      <c r="N52" s="276"/>
      <c r="O52" s="277"/>
      <c r="P52" s="265"/>
      <c r="Q52" s="255"/>
    </row>
    <row r="53" spans="6:17" s="25" customFormat="1" ht="22" customHeight="1" outlineLevel="1" x14ac:dyDescent="0.15">
      <c r="F53" s="255"/>
      <c r="G53" s="256"/>
      <c r="H53" s="275" t="str">
        <f>IF(C41="","",IF(I41="","",IF(C41&gt;3,H37,IF(I41&gt;3,C37,""))))</f>
        <v/>
      </c>
      <c r="I53" s="276"/>
      <c r="J53" s="277"/>
      <c r="K53" s="121">
        <v>3</v>
      </c>
      <c r="L53" s="122">
        <v>4</v>
      </c>
      <c r="M53" s="275" t="str">
        <f>IF(M41="","",IF(S41="","",IF(M41&gt;3,R37,IF(S41&gt;3,M37,""))))</f>
        <v/>
      </c>
      <c r="N53" s="276"/>
      <c r="O53" s="277"/>
      <c r="P53" s="265"/>
      <c r="Q53" s="255"/>
    </row>
    <row r="54" spans="6:17" s="25" customFormat="1" ht="22" customHeight="1" outlineLevel="1" x14ac:dyDescent="0.15">
      <c r="F54" s="255"/>
      <c r="G54" s="256"/>
      <c r="H54" s="275" t="str">
        <f>IF(C41="","",IF(I41="","",IF(C41&gt;3,H38,IF(I41&gt;3,C38,""))))</f>
        <v/>
      </c>
      <c r="I54" s="276"/>
      <c r="J54" s="277"/>
      <c r="K54" s="121">
        <v>5</v>
      </c>
      <c r="L54" s="122">
        <v>6</v>
      </c>
      <c r="M54" s="275" t="str">
        <f>IF(M41="","",IF(S41="","",IF(M41&gt;3,R38,IF(S41&gt;3,M38,""))))</f>
        <v/>
      </c>
      <c r="N54" s="276"/>
      <c r="O54" s="277"/>
      <c r="P54" s="265"/>
      <c r="Q54" s="255"/>
    </row>
    <row r="55" spans="6:17" s="25" customFormat="1" ht="22" customHeight="1" outlineLevel="1" x14ac:dyDescent="0.15">
      <c r="F55" s="255"/>
      <c r="G55" s="256"/>
      <c r="H55" s="275" t="str">
        <f>IF(C41="","",IF(I41="","",IF(C41&gt;3,H39,IF(I41&gt;3,C39,""))))</f>
        <v/>
      </c>
      <c r="I55" s="276"/>
      <c r="J55" s="277"/>
      <c r="K55" s="121">
        <v>7</v>
      </c>
      <c r="L55" s="122">
        <v>8</v>
      </c>
      <c r="M55" s="275" t="str">
        <f>IF(M41="","",IF(S41="","",IF(M41&gt;3,R39,IF(S41&gt;3,M39,""))))</f>
        <v/>
      </c>
      <c r="N55" s="276"/>
      <c r="O55" s="277"/>
      <c r="P55" s="265"/>
      <c r="Q55" s="255"/>
    </row>
    <row r="56" spans="6:17" s="25" customFormat="1" ht="22" customHeight="1" outlineLevel="1" thickBot="1" x14ac:dyDescent="0.2">
      <c r="F56" s="255"/>
      <c r="G56" s="256"/>
      <c r="H56" s="275" t="str">
        <f>IF(C41="","",IF(I41="","",IF(C41&gt;3,H40,IF(I41&gt;3,C40,""))))</f>
        <v/>
      </c>
      <c r="I56" s="276"/>
      <c r="J56" s="277"/>
      <c r="K56" s="123">
        <v>9</v>
      </c>
      <c r="L56" s="124">
        <v>10</v>
      </c>
      <c r="M56" s="275" t="str">
        <f>IF(M41="","",IF(S41="","",IF(M41&gt;3,R40,IF(S41&gt;3,M40,""))))</f>
        <v/>
      </c>
      <c r="N56" s="276"/>
      <c r="O56" s="277"/>
      <c r="P56" s="265"/>
      <c r="Q56" s="255"/>
    </row>
    <row r="57" spans="6:17" ht="22" customHeight="1" x14ac:dyDescent="0.15">
      <c r="G57" s="26" t="str">
        <f>IF(J57="","",IF(J57&gt;2,1,0))</f>
        <v/>
      </c>
      <c r="H57" s="261" t="str">
        <f>IF(J57="","",SUM(G57:G63))</f>
        <v/>
      </c>
      <c r="I57" s="262"/>
      <c r="J57" s="58"/>
      <c r="K57" s="266"/>
      <c r="L57" s="267"/>
      <c r="M57" s="58"/>
      <c r="N57" s="288" t="str">
        <f>IF(H35="",IF(M51="","",4),IF(M57="","",SUM(P57:P63)))</f>
        <v/>
      </c>
      <c r="O57" s="261"/>
      <c r="P57" s="44" t="str">
        <f>IF(M57="","",IF(M57&gt;2,1,0))</f>
        <v/>
      </c>
    </row>
    <row r="58" spans="6:17" ht="22" customHeight="1" x14ac:dyDescent="0.15">
      <c r="G58" s="26" t="str">
        <f t="shared" ref="G58:G63" si="12">IF(J58="","",IF(J58&gt;2,1,0))</f>
        <v/>
      </c>
      <c r="H58" s="263"/>
      <c r="I58" s="264"/>
      <c r="J58" s="59"/>
      <c r="K58" s="257"/>
      <c r="L58" s="258"/>
      <c r="M58" s="59"/>
      <c r="N58" s="289"/>
      <c r="O58" s="263"/>
      <c r="P58" s="44" t="str">
        <f t="shared" ref="P58:P63" si="13">IF(M58="","",IF(M58&gt;2,1,0))</f>
        <v/>
      </c>
    </row>
    <row r="59" spans="6:17" ht="22" customHeight="1" x14ac:dyDescent="0.15">
      <c r="G59" s="26" t="str">
        <f t="shared" si="12"/>
        <v/>
      </c>
      <c r="H59" s="263"/>
      <c r="I59" s="264"/>
      <c r="J59" s="59"/>
      <c r="K59" s="257"/>
      <c r="L59" s="258"/>
      <c r="M59" s="59"/>
      <c r="N59" s="289"/>
      <c r="O59" s="263"/>
      <c r="P59" s="44" t="str">
        <f t="shared" si="13"/>
        <v/>
      </c>
    </row>
    <row r="60" spans="6:17" ht="22" customHeight="1" x14ac:dyDescent="0.15">
      <c r="G60" s="26" t="str">
        <f t="shared" si="12"/>
        <v/>
      </c>
      <c r="H60" s="263"/>
      <c r="I60" s="264"/>
      <c r="J60" s="59"/>
      <c r="K60" s="257"/>
      <c r="L60" s="258"/>
      <c r="M60" s="59"/>
      <c r="N60" s="289"/>
      <c r="O60" s="263"/>
      <c r="P60" s="44" t="str">
        <f t="shared" si="13"/>
        <v/>
      </c>
    </row>
    <row r="61" spans="6:17" ht="22" customHeight="1" x14ac:dyDescent="0.15">
      <c r="G61" s="26" t="str">
        <f t="shared" si="12"/>
        <v/>
      </c>
      <c r="H61" s="263"/>
      <c r="I61" s="264"/>
      <c r="J61" s="59"/>
      <c r="K61" s="257"/>
      <c r="L61" s="258"/>
      <c r="M61" s="59"/>
      <c r="N61" s="289"/>
      <c r="O61" s="263"/>
      <c r="P61" s="44" t="str">
        <f t="shared" si="13"/>
        <v/>
      </c>
    </row>
    <row r="62" spans="6:17" ht="22" customHeight="1" x14ac:dyDescent="0.15">
      <c r="G62" s="26" t="str">
        <f t="shared" si="12"/>
        <v/>
      </c>
      <c r="H62" s="263"/>
      <c r="I62" s="264"/>
      <c r="J62" s="59"/>
      <c r="K62" s="257"/>
      <c r="L62" s="258"/>
      <c r="M62" s="59"/>
      <c r="N62" s="289"/>
      <c r="O62" s="263"/>
      <c r="P62" s="44" t="str">
        <f t="shared" si="13"/>
        <v/>
      </c>
    </row>
    <row r="63" spans="6:17" ht="22" customHeight="1" thickBot="1" x14ac:dyDescent="0.2">
      <c r="G63" s="26" t="str">
        <f t="shared" si="12"/>
        <v/>
      </c>
      <c r="H63" s="263"/>
      <c r="I63" s="264"/>
      <c r="J63" s="60"/>
      <c r="K63" s="257"/>
      <c r="L63" s="258"/>
      <c r="M63" s="60"/>
      <c r="N63" s="289"/>
      <c r="O63" s="263"/>
      <c r="P63" s="44" t="str">
        <f t="shared" si="13"/>
        <v/>
      </c>
    </row>
    <row r="64" spans="6:17" ht="60" customHeight="1" thickBot="1" x14ac:dyDescent="0.2">
      <c r="G64" s="43"/>
      <c r="H64" s="281" t="s">
        <v>11</v>
      </c>
      <c r="I64" s="281"/>
      <c r="J64" s="281"/>
      <c r="K64" s="281"/>
      <c r="L64" s="281"/>
      <c r="M64" s="281"/>
      <c r="N64" s="281"/>
      <c r="O64" s="281"/>
    </row>
    <row r="65" spans="6:17" ht="28" customHeight="1" thickBot="1" x14ac:dyDescent="0.2">
      <c r="F65" s="255"/>
      <c r="G65" s="256"/>
      <c r="H65" s="272">
        <f>IF(H35="",C35,IF(C41="","",IF(I41="","",IF(C41&gt;3,C35,IF(I41&gt;3,H35,"")))))</f>
        <v>0</v>
      </c>
      <c r="I65" s="273"/>
      <c r="J65" s="274"/>
      <c r="K65" s="259" t="s">
        <v>43</v>
      </c>
      <c r="L65" s="260"/>
      <c r="M65" s="272" t="e">
        <f>IF(M35="",R35,IF(M41="","",IF(S41="","",IF(M41&gt;3,M35,IF(S41&gt;3,R35,"")))))</f>
        <v>#N/A</v>
      </c>
      <c r="N65" s="273"/>
      <c r="O65" s="274"/>
      <c r="P65" s="265"/>
      <c r="Q65" s="255"/>
    </row>
    <row r="66" spans="6:17" ht="22" customHeight="1" outlineLevel="1" x14ac:dyDescent="0.15">
      <c r="F66" s="255"/>
      <c r="G66" s="256"/>
      <c r="H66" s="278">
        <f>IF(H36="",C36,IF(C41="","",IF(I41="","",IF(C41&gt;3,C36,IF(I41&gt;3,H36,"")))))</f>
        <v>0</v>
      </c>
      <c r="I66" s="279"/>
      <c r="J66" s="280"/>
      <c r="K66" s="125">
        <v>11</v>
      </c>
      <c r="L66" s="126">
        <v>12</v>
      </c>
      <c r="M66" s="278" t="e">
        <f>IF(M36="",R36,IF(M41="","",IF(S41="","",IF(M41&gt;3,M36,IF(S41&gt;3,R36,"")))))</f>
        <v>#N/A</v>
      </c>
      <c r="N66" s="279"/>
      <c r="O66" s="280"/>
      <c r="P66" s="265"/>
      <c r="Q66" s="255"/>
    </row>
    <row r="67" spans="6:17" ht="22" customHeight="1" outlineLevel="1" x14ac:dyDescent="0.15">
      <c r="F67" s="255"/>
      <c r="G67" s="256"/>
      <c r="H67" s="278">
        <f>IF(H37="",C37,IF(C41="","",IF(I41="","",IF(C41&gt;3,C37,IF(I41&gt;3,H37,"")))))</f>
        <v>0</v>
      </c>
      <c r="I67" s="279"/>
      <c r="J67" s="280"/>
      <c r="K67" s="127">
        <v>13</v>
      </c>
      <c r="L67" s="128">
        <v>14</v>
      </c>
      <c r="M67" s="278" t="e">
        <f>IF(M37="",R37,IF(M41="","",IF(S41="","",IF(M41&gt;3,M37,IF(S41&gt;3,R37,"")))))</f>
        <v>#N/A</v>
      </c>
      <c r="N67" s="279"/>
      <c r="O67" s="280"/>
      <c r="P67" s="265"/>
      <c r="Q67" s="255"/>
    </row>
    <row r="68" spans="6:17" ht="22" customHeight="1" outlineLevel="1" x14ac:dyDescent="0.15">
      <c r="F68" s="255"/>
      <c r="G68" s="256"/>
      <c r="H68" s="278">
        <f>IF(H38="",C38,IF(C41="","",IF(I41="","",IF(C41&gt;3,C38,IF(I41&gt;3,H38,"")))))</f>
        <v>0</v>
      </c>
      <c r="I68" s="279"/>
      <c r="J68" s="280"/>
      <c r="K68" s="127">
        <v>15</v>
      </c>
      <c r="L68" s="128">
        <v>16</v>
      </c>
      <c r="M68" s="278" t="e">
        <f>IF(M38="",R38,IF(M41="","",IF(S41="","",IF(M41&gt;3,M38,IF(S41&gt;3,R38,"")))))</f>
        <v>#N/A</v>
      </c>
      <c r="N68" s="279"/>
      <c r="O68" s="280"/>
      <c r="P68" s="265"/>
      <c r="Q68" s="255"/>
    </row>
    <row r="69" spans="6:17" ht="22" customHeight="1" outlineLevel="1" x14ac:dyDescent="0.15">
      <c r="F69" s="255"/>
      <c r="G69" s="256"/>
      <c r="H69" s="278">
        <f>IF(H39="",C39,IF(C41="","",IF(I41="","",IF(C41&gt;3,C39,IF(I41&gt;3,H39,"")))))</f>
        <v>0</v>
      </c>
      <c r="I69" s="279"/>
      <c r="J69" s="280"/>
      <c r="K69" s="127">
        <v>17</v>
      </c>
      <c r="L69" s="128">
        <v>18</v>
      </c>
      <c r="M69" s="278" t="e">
        <f>IF(M39="",R39,IF(M41="","",IF(S41="","",IF(M41&gt;3,M39,IF(S41&gt;3,R39,"")))))</f>
        <v>#N/A</v>
      </c>
      <c r="N69" s="279"/>
      <c r="O69" s="280"/>
      <c r="P69" s="265"/>
      <c r="Q69" s="255"/>
    </row>
    <row r="70" spans="6:17" ht="22" customHeight="1" outlineLevel="1" thickBot="1" x14ac:dyDescent="0.2">
      <c r="F70" s="255"/>
      <c r="G70" s="256"/>
      <c r="H70" s="278">
        <f>IF(H40="",C40,IF(C41="","",IF(I41="","",IF(C41&gt;3,C40,IF(I41&gt;3,H40,"")))))</f>
        <v>0</v>
      </c>
      <c r="I70" s="279"/>
      <c r="J70" s="280"/>
      <c r="K70" s="129">
        <v>19</v>
      </c>
      <c r="L70" s="130">
        <v>20</v>
      </c>
      <c r="M70" s="278" t="e">
        <f>IF(M40="",R40,IF(M41="","",IF(S41="","",IF(M41&gt;3,M40,IF(S41&gt;3,R40,"")))))</f>
        <v>#N/A</v>
      </c>
      <c r="N70" s="279"/>
      <c r="O70" s="280"/>
      <c r="P70" s="265"/>
      <c r="Q70" s="255"/>
    </row>
    <row r="71" spans="6:17" ht="22" customHeight="1" x14ac:dyDescent="0.15">
      <c r="G71" s="26" t="str">
        <f>IF(J71="","",IF(J71&gt;2,1,0))</f>
        <v/>
      </c>
      <c r="H71" s="261" t="str">
        <f>IF(J71="","",SUM(G71:G77))</f>
        <v/>
      </c>
      <c r="I71" s="262"/>
      <c r="J71" s="58"/>
      <c r="K71" s="266"/>
      <c r="L71" s="267"/>
      <c r="M71" s="58"/>
      <c r="N71" s="288" t="str">
        <f>IF(M71="","",SUM(P71:P77))</f>
        <v/>
      </c>
      <c r="O71" s="261"/>
      <c r="P71" s="44" t="str">
        <f>IF(M71="","",IF(M71&gt;2,1,0))</f>
        <v/>
      </c>
    </row>
    <row r="72" spans="6:17" ht="22" customHeight="1" x14ac:dyDescent="0.15">
      <c r="G72" s="26" t="str">
        <f t="shared" ref="G72:G77" si="14">IF(J72="","",IF(J72&gt;2,1,0))</f>
        <v/>
      </c>
      <c r="H72" s="263"/>
      <c r="I72" s="264"/>
      <c r="J72" s="59"/>
      <c r="K72" s="257"/>
      <c r="L72" s="258"/>
      <c r="M72" s="59"/>
      <c r="N72" s="289"/>
      <c r="O72" s="263"/>
      <c r="P72" s="44" t="str">
        <f t="shared" ref="P72:P77" si="15">IF(M72="","",IF(M72&gt;2,1,0))</f>
        <v/>
      </c>
    </row>
    <row r="73" spans="6:17" ht="22" customHeight="1" x14ac:dyDescent="0.15">
      <c r="G73" s="26" t="str">
        <f t="shared" si="14"/>
        <v/>
      </c>
      <c r="H73" s="263"/>
      <c r="I73" s="264"/>
      <c r="J73" s="59"/>
      <c r="K73" s="257"/>
      <c r="L73" s="258"/>
      <c r="M73" s="59"/>
      <c r="N73" s="289"/>
      <c r="O73" s="263"/>
      <c r="P73" s="44" t="str">
        <f t="shared" si="15"/>
        <v/>
      </c>
    </row>
    <row r="74" spans="6:17" ht="22" customHeight="1" x14ac:dyDescent="0.15">
      <c r="G74" s="26" t="str">
        <f t="shared" si="14"/>
        <v/>
      </c>
      <c r="H74" s="263"/>
      <c r="I74" s="264"/>
      <c r="J74" s="59"/>
      <c r="K74" s="257"/>
      <c r="L74" s="258"/>
      <c r="M74" s="59"/>
      <c r="N74" s="289"/>
      <c r="O74" s="263"/>
      <c r="P74" s="44" t="str">
        <f t="shared" si="15"/>
        <v/>
      </c>
    </row>
    <row r="75" spans="6:17" ht="22" customHeight="1" x14ac:dyDescent="0.15">
      <c r="G75" s="26" t="str">
        <f t="shared" si="14"/>
        <v/>
      </c>
      <c r="H75" s="263"/>
      <c r="I75" s="264"/>
      <c r="J75" s="59"/>
      <c r="K75" s="257"/>
      <c r="L75" s="258"/>
      <c r="M75" s="59"/>
      <c r="N75" s="289"/>
      <c r="O75" s="263"/>
      <c r="P75" s="44" t="str">
        <f t="shared" si="15"/>
        <v/>
      </c>
    </row>
    <row r="76" spans="6:17" ht="22" customHeight="1" x14ac:dyDescent="0.15">
      <c r="G76" s="26" t="str">
        <f t="shared" si="14"/>
        <v/>
      </c>
      <c r="H76" s="263"/>
      <c r="I76" s="264"/>
      <c r="J76" s="59"/>
      <c r="K76" s="257"/>
      <c r="L76" s="258"/>
      <c r="M76" s="59"/>
      <c r="N76" s="289"/>
      <c r="O76" s="263"/>
      <c r="P76" s="44" t="str">
        <f t="shared" si="15"/>
        <v/>
      </c>
    </row>
    <row r="77" spans="6:17" ht="22" customHeight="1" thickBot="1" x14ac:dyDescent="0.2">
      <c r="G77" s="26" t="str">
        <f t="shared" si="14"/>
        <v/>
      </c>
      <c r="H77" s="263"/>
      <c r="I77" s="264"/>
      <c r="J77" s="60"/>
      <c r="K77" s="257"/>
      <c r="L77" s="258"/>
      <c r="M77" s="60"/>
      <c r="N77" s="289"/>
      <c r="O77" s="263"/>
      <c r="P77" s="44" t="str">
        <f t="shared" si="15"/>
        <v/>
      </c>
    </row>
  </sheetData>
  <sheetProtection algorithmName="SHA-512" hashValue="RMlX/cw45ePncML4uZlxgsmJcjPFwXMQ4CT1DzQz/BKlGp1bQiZMFO5rDU+H4G33QTS033pCB51eG9alUsndSA==" saltValue="P6YY4XcsF8W28RdOvAeyTQ==" spinCount="100000" sheet="1" objects="1" scenarios="1" formatColumns="0" selectLockedCells="1"/>
  <mergeCells count="186">
    <mergeCell ref="M55:O55"/>
    <mergeCell ref="H71:I77"/>
    <mergeCell ref="N71:O77"/>
    <mergeCell ref="K57:L57"/>
    <mergeCell ref="K58:L58"/>
    <mergeCell ref="K59:L59"/>
    <mergeCell ref="K60:L60"/>
    <mergeCell ref="K61:L61"/>
    <mergeCell ref="H70:J70"/>
    <mergeCell ref="M70:O70"/>
    <mergeCell ref="M69:O69"/>
    <mergeCell ref="M65:O65"/>
    <mergeCell ref="H56:J56"/>
    <mergeCell ref="M56:O56"/>
    <mergeCell ref="H68:J68"/>
    <mergeCell ref="M68:O68"/>
    <mergeCell ref="M67:O67"/>
    <mergeCell ref="H57:I63"/>
    <mergeCell ref="N57:O63"/>
    <mergeCell ref="M66:O66"/>
    <mergeCell ref="K63:L63"/>
    <mergeCell ref="K73:L73"/>
    <mergeCell ref="K74:L74"/>
    <mergeCell ref="B2:U2"/>
    <mergeCell ref="C7:E7"/>
    <mergeCell ref="C8:E8"/>
    <mergeCell ref="H7:J7"/>
    <mergeCell ref="H8:J8"/>
    <mergeCell ref="M7:O7"/>
    <mergeCell ref="R7:T7"/>
    <mergeCell ref="R6:T6"/>
    <mergeCell ref="H5:J5"/>
    <mergeCell ref="M8:O8"/>
    <mergeCell ref="C6:E6"/>
    <mergeCell ref="H6:J6"/>
    <mergeCell ref="M6:O6"/>
    <mergeCell ref="B4:U4"/>
    <mergeCell ref="P5:Q5"/>
    <mergeCell ref="R5:T5"/>
    <mergeCell ref="C5:E5"/>
    <mergeCell ref="F5:G5"/>
    <mergeCell ref="M5:O5"/>
    <mergeCell ref="B3:U3"/>
    <mergeCell ref="R8:T8"/>
    <mergeCell ref="M10:O10"/>
    <mergeCell ref="C11:D17"/>
    <mergeCell ref="I11:J17"/>
    <mergeCell ref="C10:E10"/>
    <mergeCell ref="C21:E21"/>
    <mergeCell ref="C25:D31"/>
    <mergeCell ref="M25:N31"/>
    <mergeCell ref="M23:O23"/>
    <mergeCell ref="I25:J31"/>
    <mergeCell ref="H20:J20"/>
    <mergeCell ref="F17:G17"/>
    <mergeCell ref="F19:G19"/>
    <mergeCell ref="H19:J19"/>
    <mergeCell ref="C22:E22"/>
    <mergeCell ref="F11:G11"/>
    <mergeCell ref="F12:G12"/>
    <mergeCell ref="F15:G15"/>
    <mergeCell ref="F13:G13"/>
    <mergeCell ref="F14:G14"/>
    <mergeCell ref="C20:E20"/>
    <mergeCell ref="F35:G35"/>
    <mergeCell ref="H35:J35"/>
    <mergeCell ref="M35:O35"/>
    <mergeCell ref="F25:G25"/>
    <mergeCell ref="C19:E19"/>
    <mergeCell ref="M38:O38"/>
    <mergeCell ref="H22:J22"/>
    <mergeCell ref="M21:O21"/>
    <mergeCell ref="M22:O22"/>
    <mergeCell ref="C24:E24"/>
    <mergeCell ref="H24:J24"/>
    <mergeCell ref="H21:J21"/>
    <mergeCell ref="F28:G28"/>
    <mergeCell ref="F27:G27"/>
    <mergeCell ref="F31:G31"/>
    <mergeCell ref="C23:E23"/>
    <mergeCell ref="H23:J23"/>
    <mergeCell ref="C36:E36"/>
    <mergeCell ref="H36:J36"/>
    <mergeCell ref="M36:O36"/>
    <mergeCell ref="B34:U34"/>
    <mergeCell ref="C35:E35"/>
    <mergeCell ref="R21:T21"/>
    <mergeCell ref="R22:T22"/>
    <mergeCell ref="S11:T17"/>
    <mergeCell ref="R19:T19"/>
    <mergeCell ref="P16:Q16"/>
    <mergeCell ref="M51:O51"/>
    <mergeCell ref="S41:T47"/>
    <mergeCell ref="M24:O24"/>
    <mergeCell ref="R35:T35"/>
    <mergeCell ref="P17:Q17"/>
    <mergeCell ref="P27:Q27"/>
    <mergeCell ref="P28:Q28"/>
    <mergeCell ref="P11:Q11"/>
    <mergeCell ref="P14:Q14"/>
    <mergeCell ref="P31:Q31"/>
    <mergeCell ref="P44:Q44"/>
    <mergeCell ref="P45:Q45"/>
    <mergeCell ref="P46:Q46"/>
    <mergeCell ref="P47:Q47"/>
    <mergeCell ref="R40:T40"/>
    <mergeCell ref="M39:O39"/>
    <mergeCell ref="R39:T39"/>
    <mergeCell ref="R36:T36"/>
    <mergeCell ref="S25:T31"/>
    <mergeCell ref="R38:T38"/>
    <mergeCell ref="R37:T37"/>
    <mergeCell ref="H51:J51"/>
    <mergeCell ref="K51:L51"/>
    <mergeCell ref="H55:J55"/>
    <mergeCell ref="F44:G44"/>
    <mergeCell ref="H53:J53"/>
    <mergeCell ref="H54:J54"/>
    <mergeCell ref="F41:G41"/>
    <mergeCell ref="F42:G42"/>
    <mergeCell ref="F43:G43"/>
    <mergeCell ref="F45:G45"/>
    <mergeCell ref="F46:G46"/>
    <mergeCell ref="F47:G47"/>
    <mergeCell ref="C37:E37"/>
    <mergeCell ref="C38:E38"/>
    <mergeCell ref="H38:J38"/>
    <mergeCell ref="H37:J37"/>
    <mergeCell ref="M37:O37"/>
    <mergeCell ref="C41:D47"/>
    <mergeCell ref="I41:J47"/>
    <mergeCell ref="P41:Q41"/>
    <mergeCell ref="P42:Q42"/>
    <mergeCell ref="P43:Q43"/>
    <mergeCell ref="C39:E39"/>
    <mergeCell ref="H39:J39"/>
    <mergeCell ref="C40:E40"/>
    <mergeCell ref="H40:J40"/>
    <mergeCell ref="C9:E9"/>
    <mergeCell ref="M9:O9"/>
    <mergeCell ref="F26:G26"/>
    <mergeCell ref="F29:G29"/>
    <mergeCell ref="F30:G30"/>
    <mergeCell ref="R20:T20"/>
    <mergeCell ref="M20:O20"/>
    <mergeCell ref="P25:Q25"/>
    <mergeCell ref="R24:T24"/>
    <mergeCell ref="R9:T9"/>
    <mergeCell ref="R10:T10"/>
    <mergeCell ref="R23:T23"/>
    <mergeCell ref="H10:J10"/>
    <mergeCell ref="H9:J9"/>
    <mergeCell ref="M19:O19"/>
    <mergeCell ref="P19:Q19"/>
    <mergeCell ref="P12:Q12"/>
    <mergeCell ref="P15:Q15"/>
    <mergeCell ref="M11:N17"/>
    <mergeCell ref="P13:Q13"/>
    <mergeCell ref="F16:G16"/>
    <mergeCell ref="P26:Q26"/>
    <mergeCell ref="P29:Q29"/>
    <mergeCell ref="P30:Q30"/>
    <mergeCell ref="F65:G70"/>
    <mergeCell ref="K75:L75"/>
    <mergeCell ref="K76:L76"/>
    <mergeCell ref="K77:L77"/>
    <mergeCell ref="K72:L72"/>
    <mergeCell ref="P35:Q35"/>
    <mergeCell ref="M41:N47"/>
    <mergeCell ref="P51:Q56"/>
    <mergeCell ref="K71:L71"/>
    <mergeCell ref="H50:O50"/>
    <mergeCell ref="M40:O40"/>
    <mergeCell ref="P65:Q70"/>
    <mergeCell ref="H65:J65"/>
    <mergeCell ref="K65:L65"/>
    <mergeCell ref="M53:O53"/>
    <mergeCell ref="H52:J52"/>
    <mergeCell ref="M52:O52"/>
    <mergeCell ref="H66:J66"/>
    <mergeCell ref="H67:J67"/>
    <mergeCell ref="H64:O64"/>
    <mergeCell ref="H69:J69"/>
    <mergeCell ref="M54:O54"/>
    <mergeCell ref="K62:L62"/>
    <mergeCell ref="F51:G56"/>
  </mergeCells>
  <phoneticPr fontId="2"/>
  <conditionalFormatting sqref="A5:XFD1048576 A1:XFD3 A4 V4:XFD4">
    <cfRule type="containsErrors" dxfId="21" priority="7">
      <formula>ISERROR(A1)</formula>
    </cfRule>
  </conditionalFormatting>
  <conditionalFormatting sqref="C11:D17">
    <cfRule type="cellIs" dxfId="20" priority="15" stopIfTrue="1" operator="greaterThanOrEqual">
      <formula>4</formula>
    </cfRule>
    <cfRule type="cellIs" dxfId="19" priority="16" stopIfTrue="1" operator="equal">
      <formula>0</formula>
    </cfRule>
  </conditionalFormatting>
  <conditionalFormatting sqref="C5:E10 H5:J10 M5:O10 C19:E24 H19:J24 M19:O24 R19:T24 C35:E40 H35:J40 M35:O40 R35:T40 H51:J56 M51:O56 H65:J70 M65:O70">
    <cfRule type="containsBlanks" dxfId="18" priority="5">
      <formula>LEN(TRIM(C5))=0</formula>
    </cfRule>
    <cfRule type="cellIs" dxfId="17" priority="6" operator="equal">
      <formula>0</formula>
    </cfRule>
  </conditionalFormatting>
  <conditionalFormatting sqref="E11:E17 H11:H17 O11:O17 R11:R17 E25:E31 H25:H31 O25:O31 R25:R31">
    <cfRule type="cellIs" dxfId="16" priority="13" stopIfTrue="1" operator="greaterThanOrEqual">
      <formula>3</formula>
    </cfRule>
  </conditionalFormatting>
  <conditionalFormatting sqref="E41:E47 H41:H47 O41:O47 R41:R47">
    <cfRule type="cellIs" dxfId="15" priority="11" stopIfTrue="1" operator="greaterThanOrEqual">
      <formula>3</formula>
    </cfRule>
  </conditionalFormatting>
  <conditionalFormatting sqref="F51:F56 P51:P56">
    <cfRule type="cellIs" dxfId="14" priority="10" stopIfTrue="1" operator="equal">
      <formula>"3"</formula>
    </cfRule>
  </conditionalFormatting>
  <conditionalFormatting sqref="F65:F70 P65:P70">
    <cfRule type="cellIs" dxfId="13" priority="9" stopIfTrue="1" operator="equal">
      <formula>"2"</formula>
    </cfRule>
    <cfRule type="cellIs" dxfId="12" priority="8" stopIfTrue="1" operator="equal">
      <formula>"1"</formula>
    </cfRule>
  </conditionalFormatting>
  <conditionalFormatting sqref="I11:J17 S11:T17 I25:J31 S25:T31 I41:J47 S41:T47 N57:O63 N71:O77">
    <cfRule type="cellIs" dxfId="11" priority="17" stopIfTrue="1" operator="greaterThanOrEqual">
      <formula>4</formula>
    </cfRule>
    <cfRule type="cellIs" dxfId="10" priority="18" stopIfTrue="1" operator="equal">
      <formula>0</formula>
    </cfRule>
  </conditionalFormatting>
  <conditionalFormatting sqref="J57:J63 M57:M63">
    <cfRule type="cellIs" dxfId="9" priority="2" operator="greaterThanOrEqual">
      <formula>3</formula>
    </cfRule>
  </conditionalFormatting>
  <conditionalFormatting sqref="J71:J77 M71:M77">
    <cfRule type="cellIs" dxfId="8" priority="1" operator="greaterThanOrEqual">
      <formula>3</formula>
    </cfRule>
  </conditionalFormatting>
  <conditionalFormatting sqref="M11:N17 C25:D31 M25:N31 C41:D47 M41:N47 H57:I63 H71:I77">
    <cfRule type="cellIs" dxfId="7" priority="19" stopIfTrue="1" operator="greaterThanOrEqual">
      <formula>4</formula>
    </cfRule>
    <cfRule type="cellIs" dxfId="6" priority="20" stopIfTrue="1" operator="equal">
      <formula>0</formula>
    </cfRule>
  </conditionalFormatting>
  <conditionalFormatting sqref="R5:T10">
    <cfRule type="cellIs" dxfId="5" priority="4" operator="equal">
      <formula>0</formula>
    </cfRule>
    <cfRule type="containsBlanks" dxfId="4" priority="3">
      <formula>LEN(TRIM(R5))=0</formula>
    </cfRule>
  </conditionalFormatting>
  <printOptions horizontalCentered="1" verticalCentered="1"/>
  <pageMargins left="0.2" right="0.2" top="0.2" bottom="0.2" header="0" footer="0"/>
  <pageSetup paperSize="9" scale="42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Q118"/>
  <sheetViews>
    <sheetView showGridLines="0" tabSelected="1" zoomScale="75" zoomScaleNormal="75" zoomScaleSheetLayoutView="80" zoomScalePageLayoutView="75" workbookViewId="0">
      <selection sqref="A1:H3"/>
    </sheetView>
  </sheetViews>
  <sheetFormatPr baseColWidth="10" defaultColWidth="10.6640625" defaultRowHeight="16" outlineLevelCol="1" x14ac:dyDescent="0.15"/>
  <cols>
    <col min="1" max="1" width="10.6640625" style="2"/>
    <col min="2" max="2" width="62.5" style="2" customWidth="1"/>
    <col min="3" max="3" width="38.83203125" style="2" customWidth="1" outlineLevel="1"/>
    <col min="4" max="4" width="20.6640625" style="2" customWidth="1"/>
    <col min="5" max="5" width="17.6640625" style="2" customWidth="1"/>
    <col min="6" max="6" width="6.1640625" style="2" hidden="1" customWidth="1"/>
    <col min="7" max="7" width="5.6640625" style="2" customWidth="1"/>
    <col min="8" max="8" width="8.6640625" style="2" customWidth="1"/>
    <col min="9" max="9" width="10.6640625" style="2"/>
    <col min="10" max="10" width="47" style="2" hidden="1" customWidth="1" outlineLevel="1"/>
    <col min="11" max="11" width="3.33203125" style="2" hidden="1" customWidth="1" outlineLevel="1"/>
    <col min="12" max="12" width="29.5" style="2" hidden="1" customWidth="1" outlineLevel="1"/>
    <col min="13" max="13" width="16.1640625" style="2" hidden="1" customWidth="1" outlineLevel="1"/>
    <col min="14" max="14" width="10.6640625" style="2" collapsed="1"/>
    <col min="15" max="15" width="2.5" style="2" customWidth="1"/>
    <col min="16" max="16384" width="10.6640625" style="2"/>
  </cols>
  <sheetData>
    <row r="1" spans="1:17" ht="30" customHeight="1" x14ac:dyDescent="0.15">
      <c r="A1" s="252" t="str">
        <f>CONCATENATE("PALMARES","  ",INFO!B6,"
","CHAMPIONNAT DE FRANCE DES CLUBS","
","10 METRES")</f>
        <v>PALMARES  
CHAMPIONNAT DE FRANCE DES CLUBS
10 METRES</v>
      </c>
      <c r="B1" s="252"/>
      <c r="C1" s="252"/>
      <c r="D1" s="252"/>
      <c r="E1" s="252"/>
      <c r="F1" s="252"/>
      <c r="G1" s="252"/>
      <c r="H1" s="252"/>
      <c r="I1" s="19"/>
      <c r="J1" s="19"/>
      <c r="K1" s="13"/>
      <c r="L1" s="13"/>
      <c r="M1" s="13"/>
      <c r="N1" s="13"/>
      <c r="O1" s="3"/>
      <c r="P1" s="3"/>
    </row>
    <row r="2" spans="1:17" ht="40" customHeight="1" x14ac:dyDescent="0.15">
      <c r="A2" s="252"/>
      <c r="B2" s="252"/>
      <c r="C2" s="252"/>
      <c r="D2" s="252"/>
      <c r="E2" s="252"/>
      <c r="F2" s="252"/>
      <c r="G2" s="252"/>
      <c r="H2" s="252"/>
      <c r="I2" s="19"/>
      <c r="J2" s="19"/>
      <c r="K2" s="13"/>
      <c r="L2" s="13"/>
      <c r="M2" s="13"/>
      <c r="N2" s="13"/>
      <c r="O2" s="4"/>
      <c r="P2" s="4"/>
    </row>
    <row r="3" spans="1:17" ht="40" customHeight="1" x14ac:dyDescent="0.15">
      <c r="A3" s="297"/>
      <c r="B3" s="297"/>
      <c r="C3" s="297"/>
      <c r="D3" s="297"/>
      <c r="E3" s="297"/>
      <c r="F3" s="297"/>
      <c r="G3" s="297"/>
      <c r="H3" s="297"/>
      <c r="I3" s="19"/>
      <c r="J3" s="19"/>
      <c r="K3" s="13"/>
      <c r="L3" s="13"/>
      <c r="M3" s="13"/>
      <c r="N3" s="13"/>
      <c r="O3" s="4"/>
      <c r="P3" s="4"/>
    </row>
    <row r="4" spans="1:17" s="14" customFormat="1" ht="60" customHeight="1" x14ac:dyDescent="0.15">
      <c r="A4" s="298" t="str">
        <f>CONCATENATE(INFO!B7,"   ",INFO!B9)</f>
        <v xml:space="preserve">   </v>
      </c>
      <c r="B4" s="298"/>
      <c r="C4" s="298"/>
      <c r="D4" s="298"/>
      <c r="E4" s="298"/>
      <c r="F4" s="298"/>
      <c r="G4" s="298"/>
      <c r="H4" s="298"/>
      <c r="I4" s="20"/>
      <c r="J4" s="20"/>
      <c r="K4" s="13"/>
      <c r="P4" s="16"/>
      <c r="Q4" s="17"/>
    </row>
    <row r="5" spans="1:17" s="14" customFormat="1" ht="23" customHeight="1" x14ac:dyDescent="0.15">
      <c r="A5" s="303"/>
      <c r="B5" s="303"/>
      <c r="C5" s="303"/>
      <c r="D5" s="303"/>
      <c r="E5" s="303"/>
      <c r="F5" s="303"/>
      <c r="G5" s="303"/>
      <c r="H5" s="303"/>
      <c r="I5" s="20"/>
      <c r="J5" s="35"/>
      <c r="K5" s="36"/>
      <c r="P5" s="16"/>
      <c r="Q5" s="17"/>
    </row>
    <row r="6" spans="1:17" s="14" customFormat="1" ht="15" customHeight="1" x14ac:dyDescent="0.15">
      <c r="A6" s="34"/>
      <c r="B6" s="34"/>
      <c r="C6" s="34"/>
      <c r="D6" s="34"/>
      <c r="E6" s="34"/>
      <c r="F6" s="34"/>
      <c r="G6" s="34"/>
      <c r="H6" s="34"/>
      <c r="I6" s="20"/>
      <c r="J6" s="35"/>
      <c r="K6" s="36"/>
      <c r="P6" s="16"/>
      <c r="Q6" s="17"/>
    </row>
    <row r="7" spans="1:17" s="14" customFormat="1" ht="62" customHeight="1" x14ac:dyDescent="0.15">
      <c r="A7" s="30" t="s">
        <v>8</v>
      </c>
      <c r="B7" s="31" t="s">
        <v>9</v>
      </c>
      <c r="C7" s="31" t="s">
        <v>48</v>
      </c>
      <c r="D7" s="31" t="s">
        <v>29</v>
      </c>
      <c r="E7" s="32" t="s">
        <v>10</v>
      </c>
      <c r="F7" s="46" t="s">
        <v>42</v>
      </c>
      <c r="G7" s="22"/>
      <c r="H7" s="21"/>
      <c r="J7" s="18"/>
      <c r="K7" s="16"/>
      <c r="P7" s="16"/>
      <c r="Q7" s="17"/>
    </row>
    <row r="8" spans="1:17" s="14" customFormat="1" ht="62" customHeight="1" x14ac:dyDescent="0.15">
      <c r="A8" s="28">
        <v>1</v>
      </c>
      <c r="B8" s="39" t="str">
        <f>IF(A8="","",IF('P.F.'!J71="","",IF('P.F.'!H71&gt;3,'P.F.'!H65,IF('P.F.'!N71&gt;3,'P.F.'!M65,""))))</f>
        <v/>
      </c>
      <c r="C8" s="39"/>
      <c r="D8" s="40" t="str">
        <f>IF(A8="","",IF(B8="","",VLOOKUP(B8,'M Q'!B$7:AI$14,2,0)))</f>
        <v/>
      </c>
      <c r="E8" s="191" t="str">
        <f>IF(A8="","",IF(B8="","",VLOOKUP(B8,'M Q'!B$7:AI$14,33,0)))</f>
        <v/>
      </c>
      <c r="F8" s="49" t="str">
        <f>IF(A8="","",IF(B8="","",VLOOKUP(B8,'M Q'!B$7:AI$14,34,0)))</f>
        <v/>
      </c>
      <c r="G8" s="301" t="s">
        <v>11</v>
      </c>
      <c r="H8" s="16"/>
      <c r="I8" s="16"/>
      <c r="J8" s="15"/>
      <c r="K8" s="15"/>
    </row>
    <row r="9" spans="1:17" s="14" customFormat="1" ht="62" customHeight="1" x14ac:dyDescent="0.15">
      <c r="A9" s="28" t="str">
        <f>IF(INFO!B8&gt;1,2,"")</f>
        <v/>
      </c>
      <c r="B9" s="39" t="str">
        <f>IF(A9="","",IF('P.F.'!M71="","",IF('P.F.'!H71&gt;3,'P.F.'!M65,IF('P.F.'!N71&gt;3,'P.F.'!H65,""))))</f>
        <v/>
      </c>
      <c r="C9" s="39"/>
      <c r="D9" s="40" t="str">
        <f>IF(A9="","",IF(B9="","",VLOOKUP(B9,'M Q'!B$7:AI$14,2,0)))</f>
        <v/>
      </c>
      <c r="E9" s="191" t="str">
        <f>IF(A9="","",IF(B9="","",VLOOKUP(B9,'M Q'!B$7:AI$14,33,0)))</f>
        <v/>
      </c>
      <c r="F9" s="49" t="str">
        <f>IF(A9="","",IF(B9="","",VLOOKUP(B9,'M Q'!B$7:AI$14,34,0)))</f>
        <v/>
      </c>
      <c r="G9" s="301"/>
      <c r="H9" s="16"/>
      <c r="I9" s="15"/>
      <c r="J9" s="15"/>
      <c r="K9" s="15"/>
    </row>
    <row r="10" spans="1:17" s="14" customFormat="1" ht="62" customHeight="1" x14ac:dyDescent="0.15">
      <c r="A10" s="28" t="str">
        <f>IF(INFO!B8&gt;2,3,"")</f>
        <v/>
      </c>
      <c r="B10" s="27" t="str">
        <f>IF(A10="","",IF(INFO!B8=3,'P.F.'!M51,IF('P.F.'!J57="","",IF('P.F.'!H57&gt;3,'P.F.'!H51,IF('P.F.'!N57&gt;3,'P.F.'!M51,"")))))</f>
        <v/>
      </c>
      <c r="C10" s="27"/>
      <c r="D10" s="40" t="str">
        <f>IF(A10="","",IF(B10="","",VLOOKUP(B10,'M Q'!B$7:AI$14,2,0)))</f>
        <v/>
      </c>
      <c r="E10" s="191" t="str">
        <f>IF(A10="","",IF(B10="","",VLOOKUP(B10,'M Q'!B$7:AI$14,33,0)))</f>
        <v/>
      </c>
      <c r="F10" s="49" t="str">
        <f>IF(A10="","",IF(B10="","",VLOOKUP(B10,'M Q'!B$7:AI$14,34,0)))</f>
        <v/>
      </c>
      <c r="G10" s="302" t="s">
        <v>30</v>
      </c>
      <c r="H10" s="15"/>
      <c r="K10" s="15"/>
    </row>
    <row r="11" spans="1:17" s="14" customFormat="1" ht="62" customHeight="1" x14ac:dyDescent="0.15">
      <c r="A11" s="28" t="str">
        <f>IF(INFO!B8&gt;3,4,"")</f>
        <v/>
      </c>
      <c r="B11" s="27" t="str">
        <f>IF(A11="","",IF('P.F.'!M57="","",IF('P.F.'!H57&gt;3,'P.F.'!M51,IF('P.F.'!N57&gt;3,'P.F.'!H51,""))))</f>
        <v/>
      </c>
      <c r="C11" s="27"/>
      <c r="D11" s="40" t="str">
        <f>IF(A11="","",IF(B11="","",VLOOKUP(B11,'M Q'!B$7:AI$14,2,0)))</f>
        <v/>
      </c>
      <c r="E11" s="191" t="str">
        <f>IF(A11="","",IF(B11="","",VLOOKUP(B11,'M Q'!B$7:AI$14,33,0)))</f>
        <v/>
      </c>
      <c r="F11" s="49" t="str">
        <f>IF(A11="","",IF(B11="","",VLOOKUP(B11,'M Q'!B$7:AI$14,34,0)))</f>
        <v/>
      </c>
      <c r="G11" s="302"/>
      <c r="H11" s="15"/>
      <c r="I11" s="15"/>
      <c r="J11" s="299" t="s">
        <v>24</v>
      </c>
      <c r="K11" s="299"/>
      <c r="L11" s="299"/>
      <c r="M11" s="299"/>
    </row>
    <row r="12" spans="1:17" s="14" customFormat="1" ht="62" customHeight="1" x14ac:dyDescent="0.15">
      <c r="A12" s="28" t="str">
        <f>IF(INFO!B8&gt;4,5,"")</f>
        <v/>
      </c>
      <c r="B12" s="27" t="str">
        <f>IF(A12="","",VLOOKUP(E12,J$12:M$15,3,0))</f>
        <v/>
      </c>
      <c r="C12" s="27"/>
      <c r="D12" s="41" t="str">
        <f>IF(A12="","",VLOOKUP(E12,J$12:M$15,4,0))</f>
        <v/>
      </c>
      <c r="E12" s="192" t="str">
        <f>IF(A12="","",LARGE(J12:J15,1))</f>
        <v/>
      </c>
      <c r="F12" s="49" t="str">
        <f>IF(A12="","",IF(B12="","",VLOOKUP(B12,'M Q'!B$7:AI$14,34,0)))</f>
        <v/>
      </c>
      <c r="G12" s="300" t="s">
        <v>32</v>
      </c>
      <c r="I12" s="15"/>
      <c r="J12" s="190">
        <f>IF(L12="",0,VLOOKUP(L12,saisie!C$7:AL$26,36,0))</f>
        <v>0</v>
      </c>
      <c r="K12" s="16" t="e">
        <f>VLOOKUP(L12,saisie!C$7:AL$26,34,0)</f>
        <v>#N/A</v>
      </c>
      <c r="L12" s="37" t="str">
        <f>IF('P.F.'!E11="","",IF('P.F.'!C11&gt;3,'P.F.'!H5,IF('P.F.'!I11&gt;3,'P.F.'!C5,"")))</f>
        <v/>
      </c>
      <c r="M12" s="16" t="e">
        <f>VLOOKUP(L12,saisie!C$7:AL$26,2,0)</f>
        <v>#N/A</v>
      </c>
    </row>
    <row r="13" spans="1:17" s="14" customFormat="1" ht="62" customHeight="1" x14ac:dyDescent="0.15">
      <c r="A13" s="28" t="str">
        <f>IF(INFO!B8&gt;5,6,"")</f>
        <v/>
      </c>
      <c r="B13" s="27" t="str">
        <f>IF(A13="","",VLOOKUP(E13,J$12:M$15,3,0))</f>
        <v/>
      </c>
      <c r="C13" s="27"/>
      <c r="D13" s="41" t="str">
        <f>IF(A13="","",VLOOKUP(E13,J$12:M$15,4,0))</f>
        <v/>
      </c>
      <c r="E13" s="192" t="str">
        <f>IF(A13="","",LARGE(J12:J15,2))</f>
        <v/>
      </c>
      <c r="F13" s="49" t="str">
        <f>IF(A13="","",IF(B13="","",VLOOKUP(B13,'M Q'!B$7:AI$14,34,0)))</f>
        <v/>
      </c>
      <c r="G13" s="300"/>
      <c r="J13" s="190">
        <f>IF(L13="",0,VLOOKUP(L13,saisie!C$7:AL$26,36,0))</f>
        <v>0</v>
      </c>
      <c r="K13" s="16" t="e">
        <f>VLOOKUP(L13,saisie!C$7:AL$26,34,0)</f>
        <v>#N/A</v>
      </c>
      <c r="L13" s="37" t="str">
        <f>IF('P.F.'!O11="","",IF('P.F.'!M11&gt;3,'P.F.'!R5,IF('P.F.'!S11&gt;3,'P.F.'!M5,"")))</f>
        <v/>
      </c>
      <c r="M13" s="16" t="e">
        <f>VLOOKUP(L13,saisie!C$7:AL$26,2,0)</f>
        <v>#N/A</v>
      </c>
    </row>
    <row r="14" spans="1:17" s="14" customFormat="1" ht="62" customHeight="1" x14ac:dyDescent="0.15">
      <c r="A14" s="29" t="str">
        <f>IF(INFO!B8&gt;6,7,"")</f>
        <v/>
      </c>
      <c r="B14" s="27" t="str">
        <f>IF(A14="","",VLOOKUP(E14,J$12:M$15,3,0))</f>
        <v/>
      </c>
      <c r="C14" s="27"/>
      <c r="D14" s="41" t="str">
        <f>IF(A14="","",VLOOKUP(E14,J$12:M$15,4,0))</f>
        <v/>
      </c>
      <c r="E14" s="192" t="str">
        <f>IF(A14="","",LARGE(J12:J15,3))</f>
        <v/>
      </c>
      <c r="F14" s="49" t="str">
        <f>IF(A14="","",IF(B14="","",VLOOKUP(B14,'M Q'!B$7:AI$14,34,0)))</f>
        <v/>
      </c>
      <c r="G14" s="300"/>
      <c r="I14" s="15"/>
      <c r="J14" s="190">
        <f>IF(L14="",0,VLOOKUP(L14,saisie!C$7:AL$26,36,0))</f>
        <v>0</v>
      </c>
      <c r="K14" s="16" t="e">
        <f>VLOOKUP(L14,saisie!C$7:AL$26,34,0)</f>
        <v>#N/A</v>
      </c>
      <c r="L14" s="37" t="str">
        <f>IF('P.F.'!H25="","",IF('P.F.'!C25&gt;3,'P.F.'!H19,IF('P.F.'!I25&gt;3,'P.F.'!C19,"")))</f>
        <v/>
      </c>
      <c r="M14" s="16" t="e">
        <f>VLOOKUP(L14,saisie!C$7:AL$26,2,0)</f>
        <v>#N/A</v>
      </c>
      <c r="O14" s="15"/>
      <c r="P14" s="15"/>
    </row>
    <row r="15" spans="1:17" s="14" customFormat="1" ht="62" customHeight="1" x14ac:dyDescent="0.15">
      <c r="A15" s="28" t="str">
        <f>IF(INFO!B8&gt;7,8,"")</f>
        <v/>
      </c>
      <c r="B15" s="27" t="str">
        <f>IF(A15="","",VLOOKUP(E15,J$12:M$15,3,0))</f>
        <v/>
      </c>
      <c r="C15" s="27"/>
      <c r="D15" s="41" t="str">
        <f>IF(A15="","",VLOOKUP(E15,J$12:M$15,4,0))</f>
        <v/>
      </c>
      <c r="E15" s="192" t="str">
        <f>IF(A15="","",LARGE(J12:J15,4))</f>
        <v/>
      </c>
      <c r="F15" s="49" t="str">
        <f>IF(A15="","",IF(B15="","",VLOOKUP(B15,'M Q'!B$7:AI$14,34,0)))</f>
        <v/>
      </c>
      <c r="G15" s="300"/>
      <c r="I15" s="15"/>
      <c r="J15" s="190">
        <f>IF(L15="",0,VLOOKUP(L15,saisie!C$7:AL$26,36,0))</f>
        <v>0</v>
      </c>
      <c r="K15" s="16" t="e">
        <f>VLOOKUP(L15,saisie!C$7:AL$26,34,0)</f>
        <v>#N/A</v>
      </c>
      <c r="L15" s="37" t="str">
        <f>IF('P.F.'!R25="","",IF('P.F.'!M25&gt;3,'P.F.'!R19,IF('P.F.'!S25&gt;3,'P.F.'!M19,"")))</f>
        <v/>
      </c>
      <c r="M15" s="16" t="e">
        <f>VLOOKUP(L15,saisie!C$7:AL$26,2,0)</f>
        <v>#N/A</v>
      </c>
      <c r="O15" s="16"/>
      <c r="P15" s="15"/>
      <c r="Q15" s="15"/>
    </row>
    <row r="16" spans="1:17" s="14" customFormat="1" ht="62" customHeight="1" x14ac:dyDescent="0.15">
      <c r="A16" s="28" t="str">
        <f>IF(INFO!B8&gt;8,9,"")</f>
        <v/>
      </c>
      <c r="B16" s="27" t="str">
        <f>IF(A16="","",IF('M Q'!AE15="","",'M Q'!B15))</f>
        <v/>
      </c>
      <c r="C16" s="27"/>
      <c r="D16" s="41" t="str">
        <f>IF(A16="","",IF('M Q'!AE15="","",'M Q'!C15))</f>
        <v/>
      </c>
      <c r="E16" s="192" t="str">
        <f>IF(A16="","",IF('M Q'!AE15="","",'M Q'!AH15))</f>
        <v/>
      </c>
      <c r="F16" s="47" t="str">
        <f>IF(A16="","",IF('M Q'!AE15="","",'M Q'!AI15))</f>
        <v/>
      </c>
      <c r="G16" s="15"/>
      <c r="I16" s="15"/>
      <c r="J16" s="15"/>
      <c r="K16" s="16"/>
      <c r="L16" s="16"/>
      <c r="M16" s="16"/>
      <c r="N16" s="16"/>
      <c r="O16" s="16"/>
      <c r="P16" s="15"/>
      <c r="Q16" s="15"/>
    </row>
    <row r="17" spans="1:17" s="14" customFormat="1" ht="62" customHeight="1" x14ac:dyDescent="0.15">
      <c r="A17" s="29" t="str">
        <f>IF(INFO!B8&gt;9,10,"")</f>
        <v/>
      </c>
      <c r="B17" s="27" t="str">
        <f>IF(A17="","",IF('M Q'!AE16="","",'M Q'!B16))</f>
        <v/>
      </c>
      <c r="C17" s="27"/>
      <c r="D17" s="41" t="str">
        <f>IF(A17="","",IF('M Q'!AE16="","",'M Q'!C16))</f>
        <v/>
      </c>
      <c r="E17" s="192" t="str">
        <f>IF(A17="","",IF('M Q'!AE16="","",'M Q'!AH16))</f>
        <v/>
      </c>
      <c r="F17" s="47" t="str">
        <f>IF(A17="","",IF('M Q'!AE16="","",'M Q'!AI16))</f>
        <v/>
      </c>
      <c r="G17" s="15"/>
      <c r="I17" s="15"/>
      <c r="J17" s="57"/>
      <c r="K17" s="57"/>
      <c r="L17" s="57"/>
      <c r="M17" s="57"/>
      <c r="N17" s="16"/>
      <c r="O17" s="16"/>
      <c r="P17" s="15"/>
      <c r="Q17" s="15"/>
    </row>
    <row r="18" spans="1:17" s="14" customFormat="1" ht="62" customHeight="1" x14ac:dyDescent="0.15">
      <c r="A18" s="28" t="str">
        <f>IF(INFO!B8&gt;10,11,"")</f>
        <v/>
      </c>
      <c r="B18" s="27" t="str">
        <f>IF(A18="","",IF('M Q'!AE17="","",'M Q'!B17))</f>
        <v/>
      </c>
      <c r="C18" s="27"/>
      <c r="D18" s="41" t="str">
        <f>IF(A18="","",IF('M Q'!AE17="","",'M Q'!C17))</f>
        <v/>
      </c>
      <c r="E18" s="192" t="str">
        <f>IF(A18="","",IF('M Q'!AE17="","",'M Q'!AH17))</f>
        <v/>
      </c>
      <c r="F18" s="47" t="str">
        <f>IF(A18="","",IF('M Q'!AE17="","",'M Q'!AI17))</f>
        <v/>
      </c>
      <c r="G18" s="15"/>
      <c r="I18" s="15"/>
      <c r="J18" s="57"/>
      <c r="K18" s="57"/>
      <c r="L18" s="57"/>
      <c r="M18" s="57"/>
      <c r="N18" s="16"/>
      <c r="O18" s="16"/>
      <c r="P18" s="15"/>
      <c r="Q18" s="15"/>
    </row>
    <row r="19" spans="1:17" s="14" customFormat="1" ht="62" customHeight="1" x14ac:dyDescent="0.15">
      <c r="A19" s="29" t="str">
        <f>IF(INFO!B8&gt;11,12,"")</f>
        <v/>
      </c>
      <c r="B19" s="27" t="str">
        <f>IF(A19="","",IF('M Q'!AE18="","",'M Q'!B18))</f>
        <v/>
      </c>
      <c r="C19" s="27"/>
      <c r="D19" s="41" t="str">
        <f>IF(A19="","",IF('M Q'!AE18="","",'M Q'!C18))</f>
        <v/>
      </c>
      <c r="E19" s="192" t="str">
        <f>IF(A19="","",IF('M Q'!AE18="","",'M Q'!AH18))</f>
        <v/>
      </c>
      <c r="F19" s="47" t="str">
        <f>IF(A19="","",IF('M Q'!AE18="","",'M Q'!AI18))</f>
        <v/>
      </c>
      <c r="G19" s="15"/>
      <c r="I19" s="15"/>
      <c r="J19" s="57"/>
      <c r="K19" s="57"/>
      <c r="L19" s="57"/>
      <c r="M19" s="57"/>
      <c r="N19" s="16"/>
      <c r="O19" s="16"/>
      <c r="P19" s="15"/>
      <c r="Q19" s="15"/>
    </row>
    <row r="20" spans="1:17" s="14" customFormat="1" ht="62" customHeight="1" x14ac:dyDescent="0.15">
      <c r="A20" s="28" t="str">
        <f>IF(INFO!B8&gt;12,13,"")</f>
        <v/>
      </c>
      <c r="B20" s="27" t="str">
        <f>IF(A20="","",IF('M Q'!AE19="","",'M Q'!B19))</f>
        <v/>
      </c>
      <c r="C20" s="27"/>
      <c r="D20" s="41" t="str">
        <f>IF(A20="","",IF('M Q'!AE19="","",'M Q'!C19))</f>
        <v/>
      </c>
      <c r="E20" s="192" t="str">
        <f>IF(A20="","",IF('M Q'!AE19="","",'M Q'!AH19))</f>
        <v/>
      </c>
      <c r="F20" s="47" t="str">
        <f>IF(A20="","",IF('M Q'!AE19="","",'M Q'!AI19))</f>
        <v/>
      </c>
      <c r="G20" s="15"/>
      <c r="I20" s="15"/>
      <c r="J20" s="15"/>
      <c r="K20" s="16"/>
      <c r="L20" s="16"/>
      <c r="M20" s="16"/>
      <c r="N20" s="16"/>
      <c r="O20" s="16"/>
      <c r="P20" s="15"/>
      <c r="Q20" s="15"/>
    </row>
    <row r="21" spans="1:17" s="14" customFormat="1" ht="62" customHeight="1" x14ac:dyDescent="0.15">
      <c r="A21" s="29" t="str">
        <f>IF(INFO!B8&gt;13,14,"")</f>
        <v/>
      </c>
      <c r="B21" s="27" t="str">
        <f>IF(A21="","",IF('M Q'!AE20="","",'M Q'!B20))</f>
        <v/>
      </c>
      <c r="C21" s="27"/>
      <c r="D21" s="41" t="str">
        <f>IF(A21="","",IF('M Q'!AE20="","",'M Q'!C20))</f>
        <v/>
      </c>
      <c r="E21" s="192" t="str">
        <f>IF(A21="","",IF('M Q'!AE20="","",'M Q'!AH20))</f>
        <v/>
      </c>
      <c r="F21" s="47" t="str">
        <f>IF(A21="","",IF('M Q'!AE20="","",'M Q'!AI20))</f>
        <v/>
      </c>
      <c r="G21" s="15"/>
      <c r="I21" s="15"/>
      <c r="J21" s="15"/>
      <c r="K21" s="16"/>
      <c r="L21" s="16"/>
      <c r="M21" s="16"/>
      <c r="N21" s="16"/>
      <c r="O21" s="16"/>
      <c r="P21" s="15"/>
      <c r="Q21" s="15"/>
    </row>
    <row r="22" spans="1:17" s="14" customFormat="1" ht="62" customHeight="1" x14ac:dyDescent="0.15">
      <c r="A22" s="28" t="str">
        <f>IF(INFO!B8&gt;14,15,"")</f>
        <v/>
      </c>
      <c r="B22" s="27" t="str">
        <f>IF(A22="","",IF('M Q'!AE21="","",'M Q'!B21))</f>
        <v/>
      </c>
      <c r="C22" s="27"/>
      <c r="D22" s="41" t="str">
        <f>IF(A22="","",IF('M Q'!AE21="","",'M Q'!C21))</f>
        <v/>
      </c>
      <c r="E22" s="192" t="str">
        <f>IF(A22="","",IF('M Q'!AE21="","",'M Q'!AH21))</f>
        <v/>
      </c>
      <c r="F22" s="47" t="str">
        <f>IF(A22="","",IF('M Q'!AE21="","",'M Q'!AI21))</f>
        <v/>
      </c>
      <c r="G22" s="15"/>
      <c r="I22" s="15"/>
      <c r="J22" s="15"/>
      <c r="K22" s="16"/>
      <c r="L22" s="16"/>
      <c r="M22" s="16"/>
      <c r="N22" s="16"/>
      <c r="O22" s="16"/>
      <c r="P22" s="15"/>
      <c r="Q22" s="15"/>
    </row>
    <row r="23" spans="1:17" s="14" customFormat="1" ht="62" customHeight="1" x14ac:dyDescent="0.15">
      <c r="A23" s="29" t="str">
        <f>IF(INFO!B8&gt;15,16,"")</f>
        <v/>
      </c>
      <c r="B23" s="27" t="str">
        <f>IF(A23="","",IF('M Q'!AE22="","",'M Q'!B22))</f>
        <v/>
      </c>
      <c r="C23" s="27"/>
      <c r="D23" s="41" t="str">
        <f>IF(A23="","",IF('M Q'!AE22="","",'M Q'!C22))</f>
        <v/>
      </c>
      <c r="E23" s="192" t="str">
        <f>IF(A23="","",IF('M Q'!AE22="","",'M Q'!AH22))</f>
        <v/>
      </c>
      <c r="F23" s="47" t="str">
        <f>IF(A23="","",IF('M Q'!AE22="","",'M Q'!AI22))</f>
        <v/>
      </c>
      <c r="G23" s="15"/>
      <c r="I23" s="15"/>
      <c r="J23" s="15"/>
      <c r="K23" s="16"/>
      <c r="L23" s="16"/>
      <c r="M23" s="16"/>
      <c r="N23" s="16"/>
      <c r="O23" s="16"/>
      <c r="P23" s="15"/>
      <c r="Q23" s="15"/>
    </row>
    <row r="24" spans="1:17" s="14" customFormat="1" ht="62" customHeight="1" x14ac:dyDescent="0.15">
      <c r="A24" s="38" t="str">
        <f>IF(INFO!B8&gt;16,17,"")</f>
        <v/>
      </c>
      <c r="B24" s="27" t="str">
        <f>IF(A24="","",IF('M Q'!AE23="","",'M Q'!B23))</f>
        <v/>
      </c>
      <c r="C24" s="27"/>
      <c r="D24" s="41" t="str">
        <f>IF(A24="","",IF('M Q'!AE23="","",'M Q'!C23))</f>
        <v/>
      </c>
      <c r="E24" s="192" t="str">
        <f>IF(A24="","",IF('M Q'!AE23="","",'M Q'!AH23))</f>
        <v/>
      </c>
      <c r="F24" s="47" t="str">
        <f>IF(A24="","",IF('M Q'!AE23="","",'M Q'!AI23))</f>
        <v/>
      </c>
      <c r="G24" s="15"/>
      <c r="I24" s="15"/>
      <c r="J24" s="15"/>
      <c r="K24" s="16"/>
      <c r="L24" s="16"/>
      <c r="M24" s="16"/>
      <c r="N24" s="16"/>
      <c r="O24" s="16"/>
      <c r="P24" s="15"/>
      <c r="Q24" s="15"/>
    </row>
    <row r="25" spans="1:17" s="14" customFormat="1" ht="62" customHeight="1" x14ac:dyDescent="0.15">
      <c r="A25" s="29" t="str">
        <f>IF(INFO!B8&gt;17,18,"")</f>
        <v/>
      </c>
      <c r="B25" s="27" t="str">
        <f>IF(A25="","",IF('M Q'!AE24="","",'M Q'!B24))</f>
        <v/>
      </c>
      <c r="C25" s="27"/>
      <c r="D25" s="41" t="str">
        <f>IF(A25="","",IF('M Q'!AE24="","",'M Q'!C24))</f>
        <v/>
      </c>
      <c r="E25" s="192" t="str">
        <f>IF(A25="","",IF('M Q'!AE24="","",'M Q'!AH24))</f>
        <v/>
      </c>
      <c r="F25" s="47" t="str">
        <f>IF(A25="","",IF('M Q'!AE24="","",'M Q'!AI24))</f>
        <v/>
      </c>
      <c r="G25" s="15"/>
      <c r="I25" s="15"/>
      <c r="J25" s="15"/>
      <c r="K25" s="16"/>
      <c r="L25" s="16"/>
      <c r="M25" s="16"/>
      <c r="N25" s="16"/>
      <c r="O25" s="16"/>
      <c r="P25" s="15"/>
      <c r="Q25" s="15"/>
    </row>
    <row r="26" spans="1:17" s="14" customFormat="1" ht="62" customHeight="1" x14ac:dyDescent="0.15">
      <c r="A26" s="28" t="str">
        <f>IF(INFO!B8&gt;18,19,"")</f>
        <v/>
      </c>
      <c r="B26" s="27" t="str">
        <f>IF(A26="","",IF('M Q'!AE25="","",'M Q'!B25))</f>
        <v/>
      </c>
      <c r="C26" s="27"/>
      <c r="D26" s="41" t="str">
        <f>IF(A26="","",IF('M Q'!AE25="","",'M Q'!C25))</f>
        <v/>
      </c>
      <c r="E26" s="192" t="str">
        <f>IF(A26="","",IF('M Q'!AE25="","",'M Q'!AH25))</f>
        <v/>
      </c>
      <c r="F26" s="47" t="str">
        <f>IF(A26="","",IF('M Q'!AE25="","",'M Q'!AI25))</f>
        <v/>
      </c>
      <c r="G26" s="15"/>
      <c r="I26" s="15"/>
      <c r="J26" s="15"/>
      <c r="K26" s="16"/>
      <c r="L26" s="16"/>
      <c r="M26" s="16"/>
      <c r="N26" s="16"/>
      <c r="O26" s="16"/>
      <c r="P26" s="15"/>
      <c r="Q26" s="15"/>
    </row>
    <row r="27" spans="1:17" s="14" customFormat="1" ht="62" customHeight="1" x14ac:dyDescent="0.15">
      <c r="A27" s="29" t="str">
        <f>IF(INFO!B8&gt;19,20,"")</f>
        <v/>
      </c>
      <c r="B27" s="27" t="str">
        <f>IF(A27="","",IF('M Q'!AE26="","",'M Q'!B26))</f>
        <v/>
      </c>
      <c r="C27" s="27"/>
      <c r="D27" s="41" t="str">
        <f>IF(A27="","",IF('M Q'!AE26="","",'M Q'!C26))</f>
        <v/>
      </c>
      <c r="E27" s="192" t="str">
        <f>IF(A27="","",IF('M Q'!AE26="","",'M Q'!AH26))</f>
        <v/>
      </c>
      <c r="F27" s="47" t="str">
        <f>IF(A27="","",IF('M Q'!AE26="","",'M Q'!AI26))</f>
        <v/>
      </c>
      <c r="G27" s="15"/>
      <c r="I27" s="15"/>
      <c r="J27" s="15"/>
      <c r="K27" s="16"/>
      <c r="L27" s="16"/>
      <c r="M27" s="16"/>
      <c r="N27" s="16"/>
      <c r="O27" s="16"/>
      <c r="P27" s="15"/>
      <c r="Q27" s="15"/>
    </row>
    <row r="28" spans="1:17" s="14" customFormat="1" ht="30" customHeight="1" x14ac:dyDescent="0.15"/>
    <row r="29" spans="1:17" s="14" customFormat="1" ht="30" customHeight="1" x14ac:dyDescent="0.15"/>
    <row r="30" spans="1:17" s="14" customFormat="1" ht="30" customHeight="1" x14ac:dyDescent="0.15"/>
    <row r="31" spans="1:17" s="14" customFormat="1" ht="30" customHeight="1" x14ac:dyDescent="0.15"/>
    <row r="32" spans="1:17" s="14" customFormat="1" ht="30" customHeight="1" x14ac:dyDescent="0.15"/>
    <row r="33" s="14" customFormat="1" ht="30" customHeight="1" x14ac:dyDescent="0.15"/>
    <row r="34" s="14" customFormat="1" ht="30" customHeight="1" x14ac:dyDescent="0.15"/>
    <row r="35" s="14" customFormat="1" ht="30" customHeight="1" x14ac:dyDescent="0.15"/>
    <row r="36" s="14" customFormat="1" ht="30" customHeight="1" x14ac:dyDescent="0.15"/>
    <row r="37" s="14" customFormat="1" ht="30" customHeight="1" x14ac:dyDescent="0.15"/>
    <row r="38" s="14" customFormat="1" ht="30" customHeight="1" x14ac:dyDescent="0.15"/>
    <row r="39" s="14" customFormat="1" ht="30" customHeight="1" x14ac:dyDescent="0.15"/>
    <row r="40" s="14" customFormat="1" ht="30" customHeight="1" x14ac:dyDescent="0.15"/>
    <row r="41" s="14" customFormat="1" ht="30" customHeight="1" x14ac:dyDescent="0.15"/>
    <row r="42" s="14" customFormat="1" ht="30" customHeight="1" x14ac:dyDescent="0.15"/>
    <row r="43" s="14" customFormat="1" ht="30" customHeight="1" x14ac:dyDescent="0.15"/>
    <row r="44" s="14" customFormat="1" ht="30" customHeight="1" x14ac:dyDescent="0.15"/>
    <row r="45" s="14" customFormat="1" ht="30" customHeight="1" x14ac:dyDescent="0.15"/>
    <row r="46" s="14" customFormat="1" ht="30" customHeight="1" x14ac:dyDescent="0.15"/>
    <row r="47" s="14" customFormat="1" ht="30" customHeight="1" x14ac:dyDescent="0.15"/>
    <row r="48" s="14" customFormat="1" ht="30" customHeight="1" x14ac:dyDescent="0.15"/>
    <row r="49" s="14" customFormat="1" ht="30" customHeight="1" x14ac:dyDescent="0.15"/>
    <row r="50" s="14" customFormat="1" ht="30" customHeight="1" x14ac:dyDescent="0.15"/>
    <row r="51" s="14" customFormat="1" ht="30" customHeight="1" x14ac:dyDescent="0.15"/>
    <row r="52" s="14" customFormat="1" ht="30" customHeight="1" x14ac:dyDescent="0.15"/>
    <row r="53" s="14" customFormat="1" ht="30" customHeight="1" x14ac:dyDescent="0.15"/>
    <row r="54" s="14" customFormat="1" ht="30" customHeight="1" x14ac:dyDescent="0.15"/>
    <row r="55" s="14" customFormat="1" ht="30" customHeight="1" x14ac:dyDescent="0.15"/>
    <row r="56" s="14" customFormat="1" ht="30" customHeight="1" x14ac:dyDescent="0.15"/>
    <row r="57" s="14" customFormat="1" ht="30" customHeight="1" x14ac:dyDescent="0.15"/>
    <row r="58" s="14" customFormat="1" ht="30" customHeight="1" x14ac:dyDescent="0.15"/>
    <row r="59" s="14" customFormat="1" ht="30" customHeight="1" x14ac:dyDescent="0.15"/>
    <row r="60" s="14" customFormat="1" ht="30" customHeight="1" x14ac:dyDescent="0.15"/>
    <row r="61" s="14" customFormat="1" ht="30" customHeight="1" x14ac:dyDescent="0.15"/>
    <row r="62" s="14" customFormat="1" ht="30" customHeight="1" x14ac:dyDescent="0.15"/>
    <row r="63" s="14" customFormat="1" ht="30" customHeight="1" x14ac:dyDescent="0.15"/>
    <row r="64" s="14" customFormat="1" ht="30" customHeight="1" x14ac:dyDescent="0.15"/>
    <row r="65" s="14" customFormat="1" ht="30" customHeight="1" x14ac:dyDescent="0.15"/>
    <row r="66" s="14" customFormat="1" ht="30" customHeight="1" x14ac:dyDescent="0.15"/>
    <row r="67" s="14" customFormat="1" ht="30" customHeight="1" x14ac:dyDescent="0.15"/>
    <row r="68" s="14" customFormat="1" ht="30" customHeight="1" x14ac:dyDescent="0.15"/>
    <row r="69" s="14" customFormat="1" ht="30" customHeight="1" x14ac:dyDescent="0.15"/>
    <row r="70" s="14" customFormat="1" ht="30" customHeight="1" x14ac:dyDescent="0.15"/>
    <row r="71" s="14" customFormat="1" ht="30" customHeight="1" x14ac:dyDescent="0.15"/>
    <row r="72" s="14" customFormat="1" ht="30" customHeight="1" x14ac:dyDescent="0.15"/>
    <row r="73" s="14" customFormat="1" ht="30" customHeight="1" x14ac:dyDescent="0.15"/>
    <row r="74" s="14" customFormat="1" ht="30" customHeight="1" x14ac:dyDescent="0.15"/>
    <row r="75" s="14" customFormat="1" ht="30" customHeight="1" x14ac:dyDescent="0.15"/>
    <row r="76" s="14" customFormat="1" ht="30" customHeight="1" x14ac:dyDescent="0.15"/>
    <row r="77" s="14" customFormat="1" ht="30" customHeight="1" x14ac:dyDescent="0.15"/>
    <row r="78" s="14" customFormat="1" ht="30" customHeight="1" x14ac:dyDescent="0.15"/>
    <row r="79" s="14" customFormat="1" ht="30" customHeight="1" x14ac:dyDescent="0.15"/>
    <row r="80" s="14" customFormat="1" ht="30" customHeight="1" x14ac:dyDescent="0.15"/>
    <row r="81" s="14" customFormat="1" ht="30" customHeight="1" x14ac:dyDescent="0.15"/>
    <row r="82" s="14" customFormat="1" ht="30" customHeight="1" x14ac:dyDescent="0.15"/>
    <row r="83" s="14" customFormat="1" ht="30" customHeight="1" x14ac:dyDescent="0.15"/>
    <row r="84" s="14" customFormat="1" ht="30" customHeight="1" x14ac:dyDescent="0.15"/>
    <row r="85" s="14" customFormat="1" ht="30" customHeight="1" x14ac:dyDescent="0.15"/>
    <row r="86" s="14" customFormat="1" ht="30" customHeight="1" x14ac:dyDescent="0.15"/>
    <row r="87" s="14" customFormat="1" ht="30" customHeight="1" x14ac:dyDescent="0.15"/>
    <row r="88" s="14" customFormat="1" ht="30" customHeight="1" x14ac:dyDescent="0.15"/>
    <row r="89" s="14" customFormat="1" ht="30" customHeight="1" x14ac:dyDescent="0.15"/>
    <row r="90" s="14" customFormat="1" ht="23" x14ac:dyDescent="0.15"/>
    <row r="91" s="14" customFormat="1" ht="23" x14ac:dyDescent="0.15"/>
    <row r="92" s="14" customFormat="1" ht="23" x14ac:dyDescent="0.15"/>
    <row r="93" s="14" customFormat="1" ht="23" x14ac:dyDescent="0.15"/>
    <row r="94" s="14" customFormat="1" ht="23" x14ac:dyDescent="0.15"/>
    <row r="95" s="14" customFormat="1" ht="23" x14ac:dyDescent="0.15"/>
    <row r="96" s="14" customFormat="1" ht="23" x14ac:dyDescent="0.15"/>
    <row r="97" s="14" customFormat="1" ht="23" x14ac:dyDescent="0.15"/>
    <row r="98" s="14" customFormat="1" ht="23" x14ac:dyDescent="0.15"/>
    <row r="99" s="14" customFormat="1" ht="23" x14ac:dyDescent="0.15"/>
    <row r="100" s="14" customFormat="1" ht="23" x14ac:dyDescent="0.15"/>
    <row r="101" s="14" customFormat="1" ht="23" x14ac:dyDescent="0.15"/>
    <row r="102" s="14" customFormat="1" ht="23" x14ac:dyDescent="0.15"/>
    <row r="103" s="14" customFormat="1" ht="23" x14ac:dyDescent="0.15"/>
    <row r="104" s="14" customFormat="1" ht="23" x14ac:dyDescent="0.15"/>
    <row r="105" s="14" customFormat="1" ht="23" x14ac:dyDescent="0.15"/>
    <row r="106" s="14" customFormat="1" ht="23" x14ac:dyDescent="0.15"/>
    <row r="107" s="14" customFormat="1" ht="23" x14ac:dyDescent="0.15"/>
    <row r="108" s="14" customFormat="1" ht="23" x14ac:dyDescent="0.15"/>
    <row r="109" s="14" customFormat="1" ht="23" x14ac:dyDescent="0.15"/>
    <row r="110" s="14" customFormat="1" ht="23" x14ac:dyDescent="0.15"/>
    <row r="111" s="14" customFormat="1" ht="23" x14ac:dyDescent="0.15"/>
    <row r="112" s="14" customFormat="1" ht="23" x14ac:dyDescent="0.15"/>
    <row r="113" s="14" customFormat="1" ht="23" x14ac:dyDescent="0.15"/>
    <row r="114" s="14" customFormat="1" ht="23" x14ac:dyDescent="0.15"/>
    <row r="115" s="14" customFormat="1" ht="23" x14ac:dyDescent="0.15"/>
    <row r="116" s="14" customFormat="1" ht="23" x14ac:dyDescent="0.15"/>
    <row r="117" s="14" customFormat="1" ht="23" x14ac:dyDescent="0.15"/>
    <row r="118" s="14" customFormat="1" ht="23" x14ac:dyDescent="0.15"/>
  </sheetData>
  <sheetProtection selectLockedCells="1" selectUnlockedCells="1"/>
  <mergeCells count="7">
    <mergeCell ref="A1:H3"/>
    <mergeCell ref="A4:H4"/>
    <mergeCell ref="J11:M11"/>
    <mergeCell ref="G12:G15"/>
    <mergeCell ref="G8:G9"/>
    <mergeCell ref="G10:G11"/>
    <mergeCell ref="A5:H5"/>
  </mergeCells>
  <phoneticPr fontId="2"/>
  <conditionalFormatting sqref="A8:F27">
    <cfRule type="containsBlanks" dxfId="3" priority="6">
      <formula>LEN(TRIM(A8))=0</formula>
    </cfRule>
  </conditionalFormatting>
  <conditionalFormatting sqref="B8:F27">
    <cfRule type="cellIs" dxfId="2" priority="1" operator="equal">
      <formula>0</formula>
    </cfRule>
  </conditionalFormatting>
  <conditionalFormatting sqref="B16:F27">
    <cfRule type="containsErrors" dxfId="1" priority="2">
      <formula>ISERROR(B16)</formula>
    </cfRule>
  </conditionalFormatting>
  <conditionalFormatting sqref="B12:M15">
    <cfRule type="containsErrors" dxfId="0" priority="3">
      <formula>ISERROR(B12)</formula>
    </cfRule>
  </conditionalFormatting>
  <printOptions horizontalCentered="1" verticalCentered="1"/>
  <pageMargins left="0.19685039370078741" right="0.19685039370078741" top="0.19685039370078741" bottom="0.19685039370078741" header="0" footer="0"/>
  <pageSetup paperSize="9" scale="49" orientation="portrait" horizontalDpi="4294967294" verticalDpi="4294967294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INFO</vt:lpstr>
      <vt:lpstr>saisie</vt:lpstr>
      <vt:lpstr>M Q</vt:lpstr>
      <vt:lpstr>Clb Q (2)</vt:lpstr>
      <vt:lpstr>Clb Q</vt:lpstr>
      <vt:lpstr>P.F.</vt:lpstr>
      <vt:lpstr>PALMARES</vt:lpstr>
      <vt:lpstr>'Clb Q'!Zone_d_impression</vt:lpstr>
      <vt:lpstr>'Clb Q (2)'!Zone_d_impression</vt:lpstr>
      <vt:lpstr>INFO!Zone_d_impression</vt:lpstr>
      <vt:lpstr>'M Q'!Zone_d_impression</vt:lpstr>
      <vt:lpstr>P.F.!Zone_d_impression</vt:lpstr>
      <vt:lpstr>PALMARES!Zone_d_impression</vt:lpstr>
      <vt:lpstr>saisie!Zone_d_impression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 *</dc:creator>
  <cp:lastModifiedBy>Theo Guinard</cp:lastModifiedBy>
  <cp:lastPrinted>2019-02-09T17:44:54Z</cp:lastPrinted>
  <dcterms:created xsi:type="dcterms:W3CDTF">2004-11-19T11:01:00Z</dcterms:created>
  <dcterms:modified xsi:type="dcterms:W3CDTF">2026-02-13T15:19:41Z</dcterms:modified>
</cp:coreProperties>
</file>